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4445" windowHeight="9180" activeTab="0"/>
  </bookViews>
  <sheets>
    <sheet name="Planilha " sheetId="1" r:id="rId1"/>
    <sheet name="Cronograma" sheetId="2" r:id="rId2"/>
    <sheet name="Composição de Custos" sheetId="3" r:id="rId3"/>
    <sheet name="Referência de preços" sheetId="4" r:id="rId4"/>
    <sheet name="levantamento" sheetId="5" r:id="rId5"/>
  </sheets>
  <definedNames>
    <definedName name="_xlnm.Print_Area" localSheetId="1">'Cronograma'!$A$1:$G$39</definedName>
    <definedName name="_xlnm.Print_Area" localSheetId="0">'Planilha '!$A$1:$J$94</definedName>
    <definedName name="_xlnm.Print_Titles" localSheetId="0">'Planilha '!$1:$7</definedName>
  </definedNames>
  <calcPr fullCalcOnLoad="1"/>
</workbook>
</file>

<file path=xl/sharedStrings.xml><?xml version="1.0" encoding="utf-8"?>
<sst xmlns="http://schemas.openxmlformats.org/spreadsheetml/2006/main" count="543" uniqueCount="362">
  <si>
    <t>QUANT.</t>
  </si>
  <si>
    <t>UNITÁRIO</t>
  </si>
  <si>
    <t>FONTE</t>
  </si>
  <si>
    <t>UNID.</t>
  </si>
  <si>
    <t>ITEM</t>
  </si>
  <si>
    <t>DESCRIÇÃO</t>
  </si>
  <si>
    <t>TOTAL</t>
  </si>
  <si>
    <t xml:space="preserve">TOTAL </t>
  </si>
  <si>
    <t>CODIGO</t>
  </si>
  <si>
    <t xml:space="preserve">           PLANILHA ORÇAMENTÁRIA</t>
  </si>
  <si>
    <t>PREÇO DE REFERÊNCIA</t>
  </si>
  <si>
    <t>altura (m)</t>
  </si>
  <si>
    <t>largura (m)</t>
  </si>
  <si>
    <t>área (m²)</t>
  </si>
  <si>
    <t>comprimento (m)</t>
  </si>
  <si>
    <t>M</t>
  </si>
  <si>
    <t>metro linear</t>
  </si>
  <si>
    <t>total</t>
  </si>
  <si>
    <t>DEMOLIÇÕES E REMOÇÕES</t>
  </si>
  <si>
    <t>COBERTURA</t>
  </si>
  <si>
    <t>PINTURA</t>
  </si>
  <si>
    <t>3.1</t>
  </si>
  <si>
    <t>1.1</t>
  </si>
  <si>
    <t>1.2</t>
  </si>
  <si>
    <t>2</t>
  </si>
  <si>
    <t>2.1</t>
  </si>
  <si>
    <t xml:space="preserve">PIN-ACR-005 </t>
  </si>
  <si>
    <t>M2</t>
  </si>
  <si>
    <t xml:space="preserve">PIN-ACR-006 </t>
  </si>
  <si>
    <t>COBERTURA EM TELHA CERÂMICA COLONIAL PLANA, 24 UNID/M2</t>
  </si>
  <si>
    <t xml:space="preserve">COB-TEL-010  </t>
  </si>
  <si>
    <t xml:space="preserve">COB-ENG-005 </t>
  </si>
  <si>
    <t xml:space="preserve">ENGRADAMENTO PARA TELHAS CERÂMICA OU CONCRETO EM MADEIRA PARAJU </t>
  </si>
  <si>
    <t xml:space="preserve">PLU-RUF-020 </t>
  </si>
  <si>
    <t xml:space="preserve">RUFO E CONTRA-RUFO DE CHAPA GALVANIZADA Nº. 24, DESENVOLVIMENTO = 33 CM </t>
  </si>
  <si>
    <t>PLU-CHA-005</t>
  </si>
  <si>
    <t xml:space="preserve">PT </t>
  </si>
  <si>
    <t>5</t>
  </si>
  <si>
    <t>5.1</t>
  </si>
  <si>
    <t>6.1</t>
  </si>
  <si>
    <t>6</t>
  </si>
  <si>
    <t xml:space="preserve">CHAPIM METÁLICO, COM PINGADEIRA, CHAPA GALVANIZADA Nº 24, DESENVOLVIMENTO = 35 CM </t>
  </si>
  <si>
    <t>pintura externa</t>
  </si>
  <si>
    <t>pé direito (m)</t>
  </si>
  <si>
    <t>paredes internas</t>
  </si>
  <si>
    <t>perímetro (m)</t>
  </si>
  <si>
    <t>pintura de teto</t>
  </si>
  <si>
    <t>area de telha cerâmica</t>
  </si>
  <si>
    <t>pilares de madeira (x5)</t>
  </si>
  <si>
    <t>und</t>
  </si>
  <si>
    <t>calhas</t>
  </si>
  <si>
    <t>chapim metalico</t>
  </si>
  <si>
    <r>
      <t xml:space="preserve">2,65x5 = </t>
    </r>
    <r>
      <rPr>
        <b/>
        <sz val="10"/>
        <rFont val="Arial"/>
        <family val="2"/>
      </rPr>
      <t>13,25m</t>
    </r>
  </si>
  <si>
    <t>MEMÓRIA DE CÁLCULO</t>
  </si>
  <si>
    <t>rufos</t>
  </si>
  <si>
    <t>Peças de madeira</t>
  </si>
  <si>
    <r>
      <t xml:space="preserve">total = </t>
    </r>
    <r>
      <rPr>
        <b/>
        <sz val="10"/>
        <rFont val="Arial"/>
        <family val="2"/>
      </rPr>
      <t>25,83m</t>
    </r>
  </si>
  <si>
    <t>7</t>
  </si>
  <si>
    <t>7.1</t>
  </si>
  <si>
    <r>
      <t xml:space="preserve">total = 60,20+16,58 = </t>
    </r>
    <r>
      <rPr>
        <b/>
        <sz val="10"/>
        <rFont val="Arial"/>
        <family val="2"/>
      </rPr>
      <t>76,62m</t>
    </r>
  </si>
  <si>
    <t>M3</t>
  </si>
  <si>
    <t>reserva técnica</t>
  </si>
  <si>
    <t>TRANSPORTE DE MATERIAL DE QUALQUER NATUREZA EM CAMINHÃO 2 KM &lt; DMT &lt;= 5 KM (DENTRO DO PERÍMETRO URBANO)</t>
  </si>
  <si>
    <t>M3XKM</t>
  </si>
  <si>
    <t>CARGA DE MATERIAL DE QUALQUER NATUREZA SOBRE CAMINHÃO - MANUAL</t>
  </si>
  <si>
    <t>TRA-CAR-005</t>
  </si>
  <si>
    <t>TRA-CAM-015</t>
  </si>
  <si>
    <t xml:space="preserve">reserva técnica </t>
  </si>
  <si>
    <t>PLU-CAL-035</t>
  </si>
  <si>
    <t>Reserva técnica</t>
  </si>
  <si>
    <t>Reserva Técnica</t>
  </si>
  <si>
    <t>ÁGUA PLUVIAL</t>
  </si>
  <si>
    <t>CONDUTOR DE AP DO TELHADO EM TUBO PVC ESGOTO, INCLUSIVE CONEXÕES E SUPORTES, 100 MM</t>
  </si>
  <si>
    <t>PLU-CON-005</t>
  </si>
  <si>
    <t>PIN-ACR-005</t>
  </si>
  <si>
    <t>3.2</t>
  </si>
  <si>
    <t>6.2</t>
  </si>
  <si>
    <t>6.3</t>
  </si>
  <si>
    <t>8</t>
  </si>
  <si>
    <t>8.1</t>
  </si>
  <si>
    <t>9</t>
  </si>
  <si>
    <t>ESQUADRIAS</t>
  </si>
  <si>
    <t xml:space="preserve">FORRO </t>
  </si>
  <si>
    <t>FORRO DE GESSO EM PLACAS ACARTONADAS - FGE</t>
  </si>
  <si>
    <t>DEMOLIÇÃO DE ALVENARIA DE TIJOLO CERÂMICO SEM APROVEITAMENTO DO MATERIAL, INCLUSIVE AFASTAMENTO (MURO DE DIVISA)</t>
  </si>
  <si>
    <t>Muro - fundos</t>
  </si>
  <si>
    <t>Muro - Lateral</t>
  </si>
  <si>
    <t>MURO DE DIVISA</t>
  </si>
  <si>
    <t>comprimento(m)</t>
  </si>
  <si>
    <t>largura(m)</t>
  </si>
  <si>
    <t>espessura(m)</t>
  </si>
  <si>
    <t>volume(m³)</t>
  </si>
  <si>
    <t>fundação</t>
  </si>
  <si>
    <t>DEMOLIÇÕES</t>
  </si>
  <si>
    <t>altura(m)</t>
  </si>
  <si>
    <t>Total</t>
  </si>
  <si>
    <t>DEM-ALV-010</t>
  </si>
  <si>
    <t>DEM-CON-015</t>
  </si>
  <si>
    <t>Total Entulho (empolamento 100%)</t>
  </si>
  <si>
    <t>PIN-EMA-006</t>
  </si>
  <si>
    <t>PIN-EMA-008</t>
  </si>
  <si>
    <t>HID-CXS-155</t>
  </si>
  <si>
    <t>MUR-TIJ-010</t>
  </si>
  <si>
    <t>FOR-GES-010</t>
  </si>
  <si>
    <t>74067/001</t>
  </si>
  <si>
    <t xml:space="preserve">PORTA DE ABRIR EM ALUMINIO TIPO VENEZIANA, COM GUARNICAO </t>
  </si>
  <si>
    <t>74071/002</t>
  </si>
  <si>
    <t>SERVIÇOS PRELIMINARES</t>
  </si>
  <si>
    <t xml:space="preserve">PLACA DE OBRA </t>
  </si>
  <si>
    <t>01.03.00</t>
  </si>
  <si>
    <t>SUDECAP - MAR/14</t>
  </si>
  <si>
    <t>ADMINISTRAÇÃO LOCAL</t>
  </si>
  <si>
    <t>DEMOLIÇÃO DE CONCRETO SIMPLES - COM EQUIPAMENTO ELÉTRICO, INCLUSIVE AFASTAMENTO</t>
  </si>
  <si>
    <t>INSTALAÇÕES HIDRO-SANITÁRIAS</t>
  </si>
  <si>
    <t>BOJO EM AÇO INOX Nº 1 (46,5 X 33 X 11,5 CM) COM VÁLVULA E SIFÃO CROMADOS</t>
  </si>
  <si>
    <t>TORNEIRA DE MESA PARA PIA DE COZINHA BICA MÓVEL EM METAL CROMADA 1/2"</t>
  </si>
  <si>
    <t>CAIXA ALVENARIA 30 X 30 X 30 CM, TAMPA EM CONCRETO-INSPEÇÃO /PASSAGEM, INCLUSIVE ESCAVAÇÃO, REATERRO E BOTA-FORA</t>
  </si>
  <si>
    <t>REGISTRO DE GAVETA COM CANOPLA D = ( 3/4")</t>
  </si>
  <si>
    <t>TUBO PVC RÍGIDO SOLDÁVEL, EMBUTIDO ÁGUA INCLUSIVE CONEXÕES, 25 MM</t>
  </si>
  <si>
    <t xml:space="preserve">TUBO PVC ESGOTO PB, EMBUTIDO INCLUSIVE CONEXÕES , 40 MM </t>
  </si>
  <si>
    <t>BAN-GRA-005</t>
  </si>
  <si>
    <t>BANCADA EM GRANITO CINZA ANDORINHA E = 3 CM, APOIADA EM CONSOLE DE METALON 20 X 30 MM</t>
  </si>
  <si>
    <t xml:space="preserve">M2 </t>
  </si>
  <si>
    <t>LOU-BOJ-005</t>
  </si>
  <si>
    <t>MET-TOR-015</t>
  </si>
  <si>
    <t xml:space="preserve">MET-LIG-005 </t>
  </si>
  <si>
    <t>HID-CXS-005</t>
  </si>
  <si>
    <t>HID-GRE-020</t>
  </si>
  <si>
    <t xml:space="preserve">HID-REG-075 </t>
  </si>
  <si>
    <t>HID-TUB-010</t>
  </si>
  <si>
    <t>HID-TUB-075</t>
  </si>
  <si>
    <t>PIS-CER-015</t>
  </si>
  <si>
    <t>PISO CERÂMICO PEI-5 ANTIDERRAPANTE (PREÇO MÉDIO), ASSENTADO COM ARGAMASSA PRÉ-FABRICADA, INCLUSIVE REJUNTAMENTO</t>
  </si>
  <si>
    <t>PIS-CON-010</t>
  </si>
  <si>
    <t>COB-CUM-005</t>
  </si>
  <si>
    <t>COLOCAÇÃO DE CUMEEIRA CERÂMICA, 3 UNID/M</t>
  </si>
  <si>
    <t>CAIXA ALVENARIA 30 X 30 X 40 CM, TAMPA EM GRELHA DE AÇO, INCLUSIVE ESCAVAÇÃO, REATERRO E BOTA-FORA</t>
  </si>
  <si>
    <t>INSTALAÇÕES ELÉTRICAS</t>
  </si>
  <si>
    <t xml:space="preserve">LIMPEZA GERAL </t>
  </si>
  <si>
    <t xml:space="preserve">LIMPEZA GERAL DE OBRA </t>
  </si>
  <si>
    <t xml:space="preserve">LIM-GER-005 </t>
  </si>
  <si>
    <t>PIN-SEL-005</t>
  </si>
  <si>
    <t>PIN-SEL-010</t>
  </si>
  <si>
    <t>BANCADA</t>
  </si>
  <si>
    <t>BAN-ROD-010</t>
  </si>
  <si>
    <t xml:space="preserve">RODABANCADA EM GRANITO CINZA ANDORINHA H = 10 CM, E = 2 CM </t>
  </si>
  <si>
    <t xml:space="preserve"> M</t>
  </si>
  <si>
    <t>3.3</t>
  </si>
  <si>
    <t>3.4</t>
  </si>
  <si>
    <t>9.1</t>
  </si>
  <si>
    <t>9.2</t>
  </si>
  <si>
    <t>10</t>
  </si>
  <si>
    <t>10.1</t>
  </si>
  <si>
    <t>10.2</t>
  </si>
  <si>
    <t>11</t>
  </si>
  <si>
    <t>11.1</t>
  </si>
  <si>
    <t>PREPARAÇÃO PARA PINTURA EM PAREDES, PVA/ACRÍLICA COM FUNDO SELADOR</t>
  </si>
  <si>
    <t>PREPARAÇÃO PARA PINTURA EM TETOS, PVA/ACRÍLICA COM FUNDO SELADOR</t>
  </si>
  <si>
    <t>13</t>
  </si>
  <si>
    <t>13.1</t>
  </si>
  <si>
    <t xml:space="preserve">LIGAÇÃO FLEXÍVEL 1/2" </t>
  </si>
  <si>
    <t>14.2</t>
  </si>
  <si>
    <t>14.3</t>
  </si>
  <si>
    <t>15</t>
  </si>
  <si>
    <t xml:space="preserve">UN </t>
  </si>
  <si>
    <t>ELE-CAB-010</t>
  </si>
  <si>
    <t>CABO DE COBRE ISOLAMENTO ANTI-CHAMA, SEÇÃO 2,5 MM2, 450/750 V - FLEXÍVEL</t>
  </si>
  <si>
    <t>ELE-CAB-030</t>
  </si>
  <si>
    <t>CABO DE COBRE ISOLAMENTO ANTI-CHAMA, SEÇÃO 16 MM2, 450/750 V - FLEXÍVEL</t>
  </si>
  <si>
    <t>INST-TOM-005</t>
  </si>
  <si>
    <t>ELE-DIS-043</t>
  </si>
  <si>
    <t>DISJUNTOR TRIPOLAR TERMOMAGNÉTICO 10KA, DE 60A</t>
  </si>
  <si>
    <t>ELE-DIS-062</t>
  </si>
  <si>
    <t>ELE-DIS-007</t>
  </si>
  <si>
    <t xml:space="preserve">DISJUNTOR MONOPOLAR TERMOMAGNÉTICO 5KA, DE 16A  </t>
  </si>
  <si>
    <t xml:space="preserve">DISJUNTOR BIPOLAR TERMOMAGNÉTICO 5KA, DE 16A </t>
  </si>
  <si>
    <t>DISPOSITIVO DIFERENCIAL RESIDUAL (DR) BIPOLAR, IN = 25A, LATUAÇÃO = 30mA</t>
  </si>
  <si>
    <t>DPS MONOPOLAR, CLASSE II, UC&gt;140V, IN&gt;10kA</t>
  </si>
  <si>
    <t>ELE-LUM-010</t>
  </si>
  <si>
    <t>LUMINÁRIA CHANFRADA PARA LÂMPADA FLUORESCENTE 2 X 16 W OU 2 X 20 W</t>
  </si>
  <si>
    <t>EMASSAMENTO DE PAREDES COM 2 DEMÃOS DE MASSA ACRÍLICA (interno)</t>
  </si>
  <si>
    <t xml:space="preserve">EMASSAMENTO DE TETOS COM 2 DEMÃOS DE MASSA ACRÍLICA </t>
  </si>
  <si>
    <t>11.2</t>
  </si>
  <si>
    <t>11.3</t>
  </si>
  <si>
    <t>11.4</t>
  </si>
  <si>
    <t>11.5</t>
  </si>
  <si>
    <t>11.6</t>
  </si>
  <si>
    <t>11.7</t>
  </si>
  <si>
    <t>SETOP - AGO/14</t>
  </si>
  <si>
    <t>ELE-INT-026</t>
  </si>
  <si>
    <t>CONJUNTO 2 INTERRUPTORES SIMPLES COM PLACA</t>
  </si>
  <si>
    <t>CJ</t>
  </si>
  <si>
    <t>ELE-TOM-025</t>
  </si>
  <si>
    <t xml:space="preserve"> UN </t>
  </si>
  <si>
    <t>ELE-TOM-005</t>
  </si>
  <si>
    <t>ELE-ELE-020</t>
  </si>
  <si>
    <t xml:space="preserve">ELETRODUTO PVC RÍGIDO, ROSCA, INCLUSIVE CONEXÕES D = 1 1/4" </t>
  </si>
  <si>
    <t xml:space="preserve">M </t>
  </si>
  <si>
    <t>11,88 + 4,45 + 4,52 + 12,67 = 33,52</t>
  </si>
  <si>
    <t>12,67 + 11,88 + 11,88</t>
  </si>
  <si>
    <t>11,88+4,45+4,52+12,67=33,52</t>
  </si>
  <si>
    <t>total = 33,52</t>
  </si>
  <si>
    <t>11,88+0,50+4,45+0,50+12,67</t>
  </si>
  <si>
    <t>(11,88+4,45+4,52+12,67)*2,9</t>
  </si>
  <si>
    <t>altura</t>
  </si>
  <si>
    <t>comprimento</t>
  </si>
  <si>
    <t>00004083</t>
  </si>
  <si>
    <t>ENCARREGADO DE OBRA ENCARREGADO GERAL</t>
  </si>
  <si>
    <t xml:space="preserve"> H </t>
  </si>
  <si>
    <t>VB</t>
  </si>
  <si>
    <t>JANELA DE CORRER EM ALUMINIO, COM QUATRO FOLHAS PARA VIDRO, DUAS FIXAS E DUAS MOVEIS, INCLUSO GUARNICAO E VIDRO LISO INCOLOR</t>
  </si>
  <si>
    <t xml:space="preserve">REMOÇÃO DE TELHA ONDULADA DE FIBROCIMENTO, INCLUSIVE AFASTAMENTO E EMPILHAMENTO </t>
  </si>
  <si>
    <t>DEM-TEL-015</t>
  </si>
  <si>
    <t>1.3</t>
  </si>
  <si>
    <t xml:space="preserve">DEMOLIÇÃO DE ENGRADAMENTO DE TELHA TIPO CALHA DE FIBROCIMENTO, INCLUSIVE EMPILHAMENTO </t>
  </si>
  <si>
    <t>DEM-ENG-010</t>
  </si>
  <si>
    <t>remoção de telha</t>
  </si>
  <si>
    <t>Varanda</t>
  </si>
  <si>
    <t>8,61+3,97</t>
  </si>
  <si>
    <t>10,61+5,97</t>
  </si>
  <si>
    <t xml:space="preserve">COB-ENG-030 </t>
  </si>
  <si>
    <t xml:space="preserve">PEÇAS DE MADEIRA EM PARAJU 12 X 8 CM </t>
  </si>
  <si>
    <t>CONTRAPISO DESEMPENADO, COM ARGAMASSA 1:3, SEM JUNTA E = 2,50CM</t>
  </si>
  <si>
    <t>MOB-DES-020</t>
  </si>
  <si>
    <t>MOBILIZAÇÃO E DESMOBILIZAÇÃO DE OBRA - PARA OBRAS EXECUTADAS EM CENTROS URBANOS - 0,50%</t>
  </si>
  <si>
    <t xml:space="preserve">RAS-ALV-025 </t>
  </si>
  <si>
    <t xml:space="preserve">RASGO CONCRETO PARA TUBULAÇÃO D = 32 A 50 MM (1 1/4" A 2") </t>
  </si>
  <si>
    <t>Composição de Custos</t>
  </si>
  <si>
    <t>unid.</t>
  </si>
  <si>
    <t>coef.</t>
  </si>
  <si>
    <t>unit.</t>
  </si>
  <si>
    <t xml:space="preserve">item </t>
  </si>
  <si>
    <t>descr.</t>
  </si>
  <si>
    <t>Material</t>
  </si>
  <si>
    <t>Total de Material</t>
  </si>
  <si>
    <t>Mão de Obra</t>
  </si>
  <si>
    <t>h</t>
  </si>
  <si>
    <t>Total Mão de Obra</t>
  </si>
  <si>
    <t>Total Material</t>
  </si>
  <si>
    <t>AUXILIAR DE ELETRICISTA COM ENCARGOS COMPLEMENTARES</t>
  </si>
  <si>
    <t>ELETRICISTA COM ENCARGOS COMPLEMENTARES</t>
  </si>
  <si>
    <t>00000247</t>
  </si>
  <si>
    <t>00002436</t>
  </si>
  <si>
    <t xml:space="preserve">Piso </t>
  </si>
  <si>
    <t>REFERÊNCIA DE PREÇOS</t>
  </si>
  <si>
    <t>Preços (R$)</t>
  </si>
  <si>
    <t>Fonte</t>
  </si>
  <si>
    <t>Valor adotado (média)</t>
  </si>
  <si>
    <t>CPU</t>
  </si>
  <si>
    <t xml:space="preserve">TOMADA SIMPLES - 2P + T - 10A COM PLACA </t>
  </si>
  <si>
    <t>TOMADA DUPLA - 2P + T  COM PLACA</t>
  </si>
  <si>
    <t>CRONOGRAMA FÍSICO-FINANCEIRO</t>
  </si>
  <si>
    <t>OBRA: RESERVA TÉCNICA - CAALE</t>
  </si>
  <si>
    <t>Local:Centro de Arqueologia Annette Laming Emperaire</t>
  </si>
  <si>
    <t>ETAPAS/DESCRIÇÃO</t>
  </si>
  <si>
    <t>FÍSICO/ FINANCEIRO</t>
  </si>
  <si>
    <t>TOTAL  ETAPAS</t>
  </si>
  <si>
    <t>MÊS 1</t>
  </si>
  <si>
    <t>MÊS 2</t>
  </si>
  <si>
    <t>RODAPÉ DE CERÂMICA H = 10 CM</t>
  </si>
  <si>
    <t xml:space="preserve">ROD-CER-005 </t>
  </si>
  <si>
    <t>PISO E RODAPÉ</t>
  </si>
  <si>
    <t>UNID</t>
  </si>
  <si>
    <t>ATA RP 44/2014 CNJ</t>
  </si>
  <si>
    <t>eletrorede.com.br</t>
  </si>
  <si>
    <t>emaisprodutos.com.br</t>
  </si>
  <si>
    <t>lojaeletrica.com.br</t>
  </si>
  <si>
    <t>lojavirtualeletrosol.com.br</t>
  </si>
  <si>
    <t>Ata RP 94/2013 TER/PB</t>
  </si>
  <si>
    <t>TOMADA 2P+T NO PISO (LINHA AQUATIC)</t>
  </si>
  <si>
    <t>ELE-LUM-051</t>
  </si>
  <si>
    <t xml:space="preserve">LUMINÁRIA TIPO TARTARUGA PARA LÂMPADA INCANDESCENTE DE 60 W, COMPLETA </t>
  </si>
  <si>
    <t xml:space="preserve">PINTURA EXTERNA - PINTURA ACRÍLICA, EM PAREDES, 2 DEMÃOS </t>
  </si>
  <si>
    <t xml:space="preserve">PINTURA INTERNA - PINTURA ACRÍLICA, EM PAREDES, 2 DEMÃOS </t>
  </si>
  <si>
    <t>PINTURA ACRÍLICA, EM TETOS, 2 DEMÃOS</t>
  </si>
  <si>
    <t>MÊS 3</t>
  </si>
  <si>
    <t>Mensal</t>
  </si>
  <si>
    <t>Acumulado</t>
  </si>
  <si>
    <t>HID-SIF-005</t>
  </si>
  <si>
    <t>CAIXA SIFONADA EM PVC COM GRELHA QUADRADA150 X 150 X 50 MM</t>
  </si>
  <si>
    <t>GRELHA/PORTA GRELHA AÇO INOX, FECHO GIRATÓRIO 150 X 150 MM</t>
  </si>
  <si>
    <t xml:space="preserve">HID-TUB-045 </t>
  </si>
  <si>
    <t xml:space="preserve"> M </t>
  </si>
  <si>
    <t>4</t>
  </si>
  <si>
    <t>4.1</t>
  </si>
  <si>
    <t>5.2</t>
  </si>
  <si>
    <t>5.3</t>
  </si>
  <si>
    <t>5.4</t>
  </si>
  <si>
    <t>5.5</t>
  </si>
  <si>
    <t>5.6</t>
  </si>
  <si>
    <t>8.2</t>
  </si>
  <si>
    <t>8.3</t>
  </si>
  <si>
    <t>10.3</t>
  </si>
  <si>
    <t>10.4</t>
  </si>
  <si>
    <t>10.5</t>
  </si>
  <si>
    <t>10.6</t>
  </si>
  <si>
    <t>10.7</t>
  </si>
  <si>
    <t>11.8</t>
  </si>
  <si>
    <t>11.9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</si>
  <si>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</si>
  <si>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</si>
  <si>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</si>
  <si>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</si>
  <si>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</si>
  <si>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</si>
  <si>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</si>
  <si>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</si>
  <si>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</si>
  <si>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</si>
  <si>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</si>
  <si>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</si>
  <si>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</si>
  <si>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</si>
  <si>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</si>
  <si>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</si>
  <si>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14</t>
  </si>
  <si>
    <t>14.1</t>
  </si>
  <si>
    <t>15.1</t>
  </si>
  <si>
    <t>RAS-ALV-025</t>
  </si>
  <si>
    <t>11.10</t>
  </si>
  <si>
    <t>TUBO PVC ESGOTO PB, INCLUSIVE CONEXÕES, 50 MM</t>
  </si>
  <si>
    <t>RASGO CONCRETO PARA TUBULAÇÃO D = 32 A 50 MM</t>
  </si>
  <si>
    <t xml:space="preserve">SOL-GRA-005 </t>
  </si>
  <si>
    <t>SOLEIRA DE GRANITO CINZA ANDORINHA E = 2 CM</t>
  </si>
  <si>
    <t xml:space="preserve"> M2 </t>
  </si>
  <si>
    <t>8.4</t>
  </si>
  <si>
    <t>PLU-CAL-045</t>
  </si>
  <si>
    <t>PLU-CAL-040</t>
  </si>
  <si>
    <t>6.4</t>
  </si>
  <si>
    <t>6.5</t>
  </si>
  <si>
    <t>CALHA DE CHAPA GALVANIZADA Nº. 24 GSG, DESENVOLVIMENTO = 50 CM (rincão varanda)</t>
  </si>
  <si>
    <t>CALHA DE CHAPA GALVANIZADA Nº. 24 GSG, DESENVOLVIMENTO = 40 CM (platibanda)</t>
  </si>
  <si>
    <t>CALHA DE CHAPA GALVANIZADA Nº. 24 GSG, DESENVOLVIMENTO = 33CM (beiral varanda)</t>
  </si>
  <si>
    <t>fundos</t>
  </si>
  <si>
    <t xml:space="preserve">INSTALAÇÃO DE AR CONDICIONADO </t>
  </si>
  <si>
    <t>INSTALAÇÃO DE AR CONDICIONADO TIPO SPLIT (FORNECIDO PELO CONTRATANTE)</t>
  </si>
  <si>
    <t>IIO-TAP-005</t>
  </si>
  <si>
    <t xml:space="preserve">TAPUME EM CHAPA COMPENSADO DE 12 MM E PONTALETES H = 2,20 M </t>
  </si>
  <si>
    <t>MURO DE DIVISA (DEMOLIÇÃO)</t>
  </si>
  <si>
    <t>Muro de Divisa (fundos)</t>
  </si>
  <si>
    <t>Muro de Divisa (lateral)</t>
  </si>
  <si>
    <t xml:space="preserve">Total  </t>
  </si>
  <si>
    <t>MURO DE DIVISA (CONSTRUÇÃO)</t>
  </si>
  <si>
    <t xml:space="preserve">TAPUME </t>
  </si>
  <si>
    <t>Tapume chapa 12mm</t>
  </si>
  <si>
    <t>OBRA: RETOMADA DA CONSTRUÇÃO DA RESERVA TÉCNICA DO CAALE</t>
  </si>
  <si>
    <t>Local: Centro de Arqueologia Annette Laming Emperaire (CAALE)</t>
  </si>
  <si>
    <t>BDI</t>
  </si>
  <si>
    <t>PREÇO COM BDI</t>
  </si>
  <si>
    <t>Data: jan/2015</t>
  </si>
  <si>
    <t>Juscelino Rodrigues Mariano</t>
  </si>
  <si>
    <t>Engenheiro Civil CREA-MG 103.235/D</t>
  </si>
  <si>
    <t>Item</t>
  </si>
  <si>
    <t>-</t>
  </si>
  <si>
    <t>MURO DIVISÓRIO TIJOLO FURADO E = 10 CM, REBOCADO E PINTADO A LATEX H = 2,20 M, INCLUSIVE SAPATA DE CONCRETO ARMADO FCK = 15MPA, 50 x 55 CM E PILARETES A CADA 2M</t>
  </si>
  <si>
    <t>PIN-PER-005</t>
  </si>
  <si>
    <t>PINTURA PRESERVATIVA PARA MADEIRA, MÍNIMO 2 DEMÃOS, COM VERNIZ IMUNIZANTE</t>
  </si>
  <si>
    <t>10.8</t>
  </si>
  <si>
    <t>Pintura Verniz</t>
  </si>
  <si>
    <t>Engradamento Varanda</t>
  </si>
  <si>
    <t>Pilares</t>
  </si>
  <si>
    <t>SINAPI - OUT/14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</si>
</sst>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_ ;[Red]\-#,##0.00\ "/>
    <numFmt numFmtId="173" formatCode="#,##0.000000000;[Red]\-#,##0.000000000"/>
    <numFmt numFmtId="174" formatCode="_(* #,##0.000000000_);_(* \(#,##0.000000000\);_(* &quot;-&quot;??_);_(@_)"/>
    <numFmt numFmtId="175" formatCode="0.0000"/>
    <numFmt numFmtId="176" formatCode="0.000"/>
    <numFmt numFmtId="177" formatCode="0.0"/>
    <numFmt numFmtId="178" formatCode="_(* #,##0.000_);_(* \(#,##0.000\);_(* &quot;-&quot;??_);_(@_)"/>
    <numFmt numFmtId="179" formatCode="0.00000"/>
    <numFmt numFmtId="180" formatCode="0.00_ ;[Red]\-0.00\ 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R$ &quot;#,##0.00"/>
    <numFmt numFmtId="186" formatCode="_(* #,##0.0000_);_(* \(#,##0.0000\);_(* &quot;-&quot;??_);_(@_)"/>
    <numFmt numFmtId="187" formatCode="[$-416]dddd\,\ d&quot; de &quot;mmmm&quot; de &quot;yyyy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&quot;Cr$&quot;#,##0_);\(&quot;Cr$&quot;#,##0\)"/>
    <numFmt numFmtId="195" formatCode="&quot;Cr$&quot;#,##0_);[Red]\(&quot;Cr$&quot;#,##0\)"/>
    <numFmt numFmtId="196" formatCode="&quot;Cr$&quot;#,##0.00_);\(&quot;Cr$&quot;#,##0.00\)"/>
    <numFmt numFmtId="197" formatCode="&quot;Cr$&quot;#,##0.00_);[Red]\(&quot;Cr$&quot;#,##0.00\)"/>
    <numFmt numFmtId="198" formatCode="_(&quot;Cr$&quot;* #,##0_);_(&quot;Cr$&quot;* \(#,##0\);_(&quot;Cr$&quot;* &quot;-&quot;_);_(@_)"/>
    <numFmt numFmtId="199" formatCode="_(&quot;Cr$&quot;* #,##0.00_);_(&quot;Cr$&quot;* \(#,##0.00\);_(&quot;Cr$&quot;* &quot;-&quot;??_);_(@_)"/>
    <numFmt numFmtId="200" formatCode="#,##0.0000_);\(#,##0.0000\)"/>
    <numFmt numFmtId="201" formatCode="0.0000%"/>
    <numFmt numFmtId="202" formatCode="#,##0.000_);[Red]\(#,##0.000\)"/>
    <numFmt numFmtId="203" formatCode="#,##0.0000_);[Red]\(#,##0.0000\)"/>
    <numFmt numFmtId="204" formatCode="0.0%"/>
    <numFmt numFmtId="205" formatCode="_(* #,##0.0_);_(* \(#,##0.0\);_(* &quot;-&quot;??_);_(@_)"/>
    <numFmt numFmtId="206" formatCode="_(* #,##0.0000_);_(* \(#,##0.0000\);_(* &quot;-&quot;????_);_(@_)"/>
    <numFmt numFmtId="207" formatCode="0.000%"/>
    <numFmt numFmtId="208" formatCode="dd/mm/yy;@"/>
    <numFmt numFmtId="209" formatCode="#,##0.00;[Red]#,##0.00"/>
    <numFmt numFmtId="210" formatCode="#,##0.000"/>
    <numFmt numFmtId="211" formatCode="#,##0.0000"/>
    <numFmt numFmtId="212" formatCode="&quot;R$ &quot;#,##0_);&quot;(R$ &quot;#,##0\)"/>
    <numFmt numFmtId="213" formatCode="#,##0.00000"/>
    <numFmt numFmtId="214" formatCode="_-* #,##0.00_-;\-* #,##0.00_-;_-* \-??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color indexed="57"/>
      <name val="Arial"/>
      <family val="2"/>
    </font>
    <font>
      <sz val="10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thin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7" borderId="1" applyNumberFormat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3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6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justify" vertical="center" wrapText="1"/>
    </xf>
    <xf numFmtId="172" fontId="0" fillId="0" borderId="0" xfId="0" applyNumberFormat="1" applyFont="1" applyFill="1" applyAlignment="1">
      <alignment horizontal="center" vertical="center" wrapText="1"/>
    </xf>
    <xf numFmtId="171" fontId="0" fillId="0" borderId="0" xfId="57" applyFont="1" applyFill="1" applyAlignment="1">
      <alignment horizontal="center" vertical="center" wrapText="1"/>
    </xf>
    <xf numFmtId="171" fontId="8" fillId="0" borderId="0" xfId="57" applyFont="1" applyFill="1" applyAlignment="1">
      <alignment horizontal="right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 vertical="center"/>
    </xf>
    <xf numFmtId="171" fontId="2" fillId="16" borderId="12" xfId="57" applyFont="1" applyFill="1" applyBorder="1" applyAlignment="1">
      <alignment horizontal="center" vertical="center"/>
    </xf>
    <xf numFmtId="171" fontId="13" fillId="0" borderId="0" xfId="57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5" fillId="0" borderId="0" xfId="45" applyAlignment="1" applyProtection="1">
      <alignment horizontal="center" vertical="top" wrapText="1"/>
      <protection/>
    </xf>
    <xf numFmtId="171" fontId="0" fillId="16" borderId="0" xfId="0" applyNumberFormat="1" applyFont="1" applyFill="1" applyAlignment="1">
      <alignment/>
    </xf>
    <xf numFmtId="4" fontId="0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1" fontId="17" fillId="24" borderId="0" xfId="57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1" fontId="13" fillId="0" borderId="0" xfId="57" applyFont="1" applyFill="1" applyBorder="1" applyAlignment="1">
      <alignment horizontal="center" vertical="center" wrapText="1"/>
    </xf>
    <xf numFmtId="171" fontId="8" fillId="0" borderId="0" xfId="57" applyFont="1" applyFill="1" applyBorder="1" applyAlignment="1">
      <alignment horizontal="right"/>
    </xf>
    <xf numFmtId="0" fontId="14" fillId="0" borderId="0" xfId="0" applyFont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1" fontId="0" fillId="0" borderId="0" xfId="57" applyFont="1" applyFill="1" applyBorder="1" applyAlignment="1">
      <alignment horizontal="center" vertical="center"/>
    </xf>
    <xf numFmtId="171" fontId="0" fillId="0" borderId="0" xfId="57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8" fillId="0" borderId="13" xfId="0" applyFont="1" applyBorder="1" applyAlignment="1">
      <alignment vertical="center" wrapText="1"/>
    </xf>
    <xf numFmtId="171" fontId="0" fillId="0" borderId="11" xfId="57" applyFont="1" applyFill="1" applyBorder="1" applyAlignment="1">
      <alignment horizontal="right" vertical="center"/>
    </xf>
    <xf numFmtId="171" fontId="0" fillId="0" borderId="14" xfId="57" applyFont="1" applyFill="1" applyBorder="1" applyAlignment="1">
      <alignment horizontal="right" vertical="center"/>
    </xf>
    <xf numFmtId="171" fontId="0" fillId="16" borderId="14" xfId="57" applyFont="1" applyFill="1" applyBorder="1" applyAlignment="1">
      <alignment horizontal="right" vertical="center"/>
    </xf>
    <xf numFmtId="39" fontId="0" fillId="16" borderId="0" xfId="0" applyNumberFormat="1" applyFont="1" applyFill="1" applyAlignment="1">
      <alignment horizontal="left"/>
    </xf>
    <xf numFmtId="0" fontId="0" fillId="16" borderId="13" xfId="0" applyFont="1" applyFill="1" applyBorder="1" applyAlignment="1">
      <alignment vertical="center" wrapText="1"/>
    </xf>
    <xf numFmtId="0" fontId="2" fillId="16" borderId="0" xfId="0" applyFont="1" applyFill="1" applyBorder="1" applyAlignment="1">
      <alignment horizontal="justify" vertical="center" wrapText="1"/>
    </xf>
    <xf numFmtId="172" fontId="0" fillId="16" borderId="0" xfId="0" applyNumberFormat="1" applyFont="1" applyFill="1" applyBorder="1" applyAlignment="1">
      <alignment horizontal="center" vertical="center" wrapText="1"/>
    </xf>
    <xf numFmtId="171" fontId="13" fillId="16" borderId="0" xfId="57" applyFont="1" applyFill="1" applyBorder="1" applyAlignment="1">
      <alignment horizontal="center" vertical="center" wrapText="1"/>
    </xf>
    <xf numFmtId="171" fontId="2" fillId="16" borderId="0" xfId="57" applyFont="1" applyFill="1" applyBorder="1" applyAlignment="1">
      <alignment horizontal="center" vertical="center" wrapText="1"/>
    </xf>
    <xf numFmtId="171" fontId="2" fillId="16" borderId="0" xfId="57" applyFont="1" applyFill="1" applyBorder="1" applyAlignment="1">
      <alignment horizontal="right" vertical="center" wrapText="1"/>
    </xf>
    <xf numFmtId="0" fontId="2" fillId="16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71" fontId="2" fillId="16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vertical="center" wrapText="1"/>
    </xf>
    <xf numFmtId="0" fontId="2" fillId="16" borderId="15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/>
    </xf>
    <xf numFmtId="0" fontId="0" fillId="16" borderId="16" xfId="0" applyFont="1" applyFill="1" applyBorder="1" applyAlignment="1">
      <alignment vertical="center" wrapText="1"/>
    </xf>
    <xf numFmtId="171" fontId="2" fillId="16" borderId="17" xfId="57" applyFont="1" applyFill="1" applyBorder="1" applyAlignment="1">
      <alignment horizontal="center" vertical="center" wrapText="1"/>
    </xf>
    <xf numFmtId="171" fontId="2" fillId="16" borderId="17" xfId="57" applyFont="1" applyFill="1" applyBorder="1" applyAlignment="1">
      <alignment horizontal="right" vertical="center" wrapText="1"/>
    </xf>
    <xf numFmtId="0" fontId="0" fillId="25" borderId="13" xfId="0" applyFont="1" applyFill="1" applyBorder="1" applyAlignment="1">
      <alignment vertical="center" wrapText="1"/>
    </xf>
    <xf numFmtId="172" fontId="0" fillId="25" borderId="0" xfId="0" applyNumberFormat="1" applyFont="1" applyFill="1" applyBorder="1" applyAlignment="1">
      <alignment horizontal="center" vertical="center" wrapText="1"/>
    </xf>
    <xf numFmtId="171" fontId="13" fillId="25" borderId="0" xfId="57" applyFont="1" applyFill="1" applyBorder="1" applyAlignment="1">
      <alignment horizontal="center" vertical="center" wrapText="1"/>
    </xf>
    <xf numFmtId="171" fontId="2" fillId="25" borderId="0" xfId="57" applyFont="1" applyFill="1" applyBorder="1" applyAlignment="1">
      <alignment horizontal="center" vertical="center" wrapText="1"/>
    </xf>
    <xf numFmtId="171" fontId="2" fillId="25" borderId="0" xfId="57" applyFont="1" applyFill="1" applyBorder="1" applyAlignment="1">
      <alignment horizontal="right" vertical="center" wrapText="1"/>
    </xf>
    <xf numFmtId="0" fontId="0" fillId="25" borderId="18" xfId="0" applyFont="1" applyFill="1" applyBorder="1" applyAlignment="1">
      <alignment vertical="center" wrapText="1"/>
    </xf>
    <xf numFmtId="172" fontId="0" fillId="25" borderId="19" xfId="0" applyNumberFormat="1" applyFont="1" applyFill="1" applyBorder="1" applyAlignment="1">
      <alignment horizontal="center" vertical="center" wrapText="1"/>
    </xf>
    <xf numFmtId="171" fontId="13" fillId="25" borderId="19" xfId="57" applyFont="1" applyFill="1" applyBorder="1" applyAlignment="1">
      <alignment horizontal="center" vertical="center" wrapText="1"/>
    </xf>
    <xf numFmtId="171" fontId="2" fillId="25" borderId="19" xfId="57" applyFont="1" applyFill="1" applyBorder="1" applyAlignment="1">
      <alignment horizontal="center" vertical="center" wrapText="1"/>
    </xf>
    <xf numFmtId="171" fontId="2" fillId="25" borderId="19" xfId="57" applyFont="1" applyFill="1" applyBorder="1" applyAlignment="1">
      <alignment horizontal="right" vertical="center" wrapText="1"/>
    </xf>
    <xf numFmtId="171" fontId="2" fillId="16" borderId="20" xfId="0" applyNumberFormat="1" applyFont="1" applyFill="1" applyBorder="1" applyAlignment="1">
      <alignment horizontal="center" vertical="center" wrapText="1"/>
    </xf>
    <xf numFmtId="171" fontId="2" fillId="0" borderId="0" xfId="57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71" fontId="0" fillId="0" borderId="11" xfId="57" applyFont="1" applyFill="1" applyBorder="1" applyAlignment="1">
      <alignment horizontal="center" vertical="center"/>
    </xf>
    <xf numFmtId="171" fontId="0" fillId="0" borderId="14" xfId="57" applyFont="1" applyFill="1" applyBorder="1" applyAlignment="1">
      <alignment horizontal="center" vertical="center"/>
    </xf>
    <xf numFmtId="171" fontId="0" fillId="0" borderId="14" xfId="57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16" borderId="22" xfId="0" applyFont="1" applyFill="1" applyBorder="1" applyAlignment="1">
      <alignment horizontal="justify" vertical="center" wrapText="1"/>
    </xf>
    <xf numFmtId="172" fontId="0" fillId="16" borderId="22" xfId="0" applyNumberFormat="1" applyFont="1" applyFill="1" applyBorder="1" applyAlignment="1">
      <alignment horizontal="center" vertical="center" wrapText="1"/>
    </xf>
    <xf numFmtId="171" fontId="13" fillId="16" borderId="22" xfId="57" applyFont="1" applyFill="1" applyBorder="1" applyAlignment="1">
      <alignment horizontal="center" vertical="center" wrapText="1"/>
    </xf>
    <xf numFmtId="0" fontId="0" fillId="25" borderId="11" xfId="0" applyFill="1" applyBorder="1" applyAlignment="1">
      <alignment/>
    </xf>
    <xf numFmtId="0" fontId="0" fillId="25" borderId="11" xfId="0" applyFill="1" applyBorder="1" applyAlignment="1">
      <alignment horizontal="center"/>
    </xf>
    <xf numFmtId="0" fontId="0" fillId="0" borderId="13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2" fillId="16" borderId="23" xfId="0" applyFont="1" applyFill="1" applyBorder="1" applyAlignment="1">
      <alignment horizontal="center" vertical="center"/>
    </xf>
    <xf numFmtId="171" fontId="2" fillId="16" borderId="12" xfId="57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1" fontId="2" fillId="16" borderId="24" xfId="57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left" vertical="center" wrapText="1"/>
    </xf>
    <xf numFmtId="0" fontId="2" fillId="16" borderId="11" xfId="0" applyFont="1" applyFill="1" applyBorder="1" applyAlignment="1">
      <alignment horizontal="left" vertical="center" wrapText="1"/>
    </xf>
    <xf numFmtId="4" fontId="0" fillId="16" borderId="14" xfId="0" applyNumberFormat="1" applyFont="1" applyFill="1" applyBorder="1" applyAlignment="1">
      <alignment horizontal="center" vertical="center"/>
    </xf>
    <xf numFmtId="171" fontId="0" fillId="16" borderId="14" xfId="57" applyFont="1" applyFill="1" applyBorder="1" applyAlignment="1">
      <alignment horizontal="center" vertical="center" wrapText="1"/>
    </xf>
    <xf numFmtId="171" fontId="0" fillId="16" borderId="14" xfId="57" applyFont="1" applyFill="1" applyBorder="1" applyAlignment="1">
      <alignment horizontal="center" vertical="center"/>
    </xf>
    <xf numFmtId="171" fontId="0" fillId="16" borderId="14" xfId="57" applyNumberFormat="1" applyFont="1" applyFill="1" applyBorder="1" applyAlignment="1">
      <alignment horizontal="center" vertical="center"/>
    </xf>
    <xf numFmtId="0" fontId="1" fillId="16" borderId="21" xfId="0" applyFont="1" applyFill="1" applyBorder="1" applyAlignment="1">
      <alignment horizontal="center" vertical="center" wrapText="1"/>
    </xf>
    <xf numFmtId="2" fontId="0" fillId="25" borderId="21" xfId="0" applyNumberFormat="1" applyFill="1" applyBorder="1" applyAlignment="1">
      <alignment/>
    </xf>
    <xf numFmtId="0" fontId="2" fillId="16" borderId="11" xfId="0" applyFont="1" applyFill="1" applyBorder="1" applyAlignment="1">
      <alignment horizontal="justify" vertical="center" wrapText="1"/>
    </xf>
    <xf numFmtId="171" fontId="2" fillId="16" borderId="14" xfId="57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center" vertical="center" wrapText="1"/>
    </xf>
    <xf numFmtId="49" fontId="2" fillId="16" borderId="2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distributed" wrapText="1"/>
    </xf>
    <xf numFmtId="0" fontId="0" fillId="0" borderId="0" xfId="0" applyBorder="1" applyAlignment="1">
      <alignment/>
    </xf>
    <xf numFmtId="171" fontId="2" fillId="0" borderId="0" xfId="0" applyNumberFormat="1" applyFont="1" applyFill="1" applyBorder="1" applyAlignment="1">
      <alignment vertical="distributed" wrapText="1"/>
    </xf>
    <xf numFmtId="171" fontId="0" fillId="0" borderId="0" xfId="57" applyFont="1" applyFill="1" applyBorder="1" applyAlignment="1">
      <alignment horizontal="right" vertical="center"/>
    </xf>
    <xf numFmtId="0" fontId="2" fillId="16" borderId="26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right" vertical="center"/>
    </xf>
    <xf numFmtId="0" fontId="2" fillId="16" borderId="20" xfId="0" applyFont="1" applyFill="1" applyBorder="1" applyAlignment="1">
      <alignment/>
    </xf>
    <xf numFmtId="0" fontId="2" fillId="16" borderId="27" xfId="0" applyFont="1" applyFill="1" applyBorder="1" applyAlignment="1">
      <alignment horizontal="center"/>
    </xf>
    <xf numFmtId="2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2" fillId="0" borderId="19" xfId="0" applyFont="1" applyBorder="1" applyAlignment="1">
      <alignment/>
    </xf>
    <xf numFmtId="2" fontId="2" fillId="0" borderId="29" xfId="0" applyNumberFormat="1" applyFont="1" applyBorder="1" applyAlignment="1">
      <alignment/>
    </xf>
    <xf numFmtId="0" fontId="2" fillId="16" borderId="13" xfId="0" applyFont="1" applyFill="1" applyBorder="1" applyAlignment="1">
      <alignment/>
    </xf>
    <xf numFmtId="0" fontId="2" fillId="16" borderId="28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2" fontId="2" fillId="0" borderId="28" xfId="0" applyNumberFormat="1" applyFont="1" applyBorder="1" applyAlignment="1">
      <alignment/>
    </xf>
    <xf numFmtId="0" fontId="0" fillId="0" borderId="13" xfId="0" applyFill="1" applyBorder="1" applyAlignment="1">
      <alignment/>
    </xf>
    <xf numFmtId="2" fontId="2" fillId="16" borderId="27" xfId="0" applyNumberFormat="1" applyFont="1" applyFill="1" applyBorder="1" applyAlignment="1">
      <alignment horizontal="center"/>
    </xf>
    <xf numFmtId="2" fontId="0" fillId="0" borderId="2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16" borderId="30" xfId="0" applyFill="1" applyBorder="1" applyAlignment="1">
      <alignment/>
    </xf>
    <xf numFmtId="0" fontId="0" fillId="16" borderId="32" xfId="0" applyFill="1" applyBorder="1" applyAlignment="1">
      <alignment/>
    </xf>
    <xf numFmtId="0" fontId="2" fillId="0" borderId="30" xfId="0" applyFont="1" applyBorder="1" applyAlignment="1">
      <alignment/>
    </xf>
    <xf numFmtId="0" fontId="0" fillId="0" borderId="13" xfId="0" applyFont="1" applyBorder="1" applyAlignment="1">
      <alignment/>
    </xf>
    <xf numFmtId="0" fontId="2" fillId="16" borderId="20" xfId="0" applyFont="1" applyFill="1" applyBorder="1" applyAlignment="1">
      <alignment horizontal="center"/>
    </xf>
    <xf numFmtId="0" fontId="0" fillId="0" borderId="28" xfId="0" applyBorder="1" applyAlignment="1">
      <alignment horizontal="right"/>
    </xf>
    <xf numFmtId="1" fontId="2" fillId="16" borderId="27" xfId="0" applyNumberFormat="1" applyFont="1" applyFill="1" applyBorder="1" applyAlignment="1">
      <alignment horizontal="center"/>
    </xf>
    <xf numFmtId="171" fontId="0" fillId="16" borderId="11" xfId="57" applyFont="1" applyFill="1" applyBorder="1" applyAlignment="1">
      <alignment horizontal="center" vertical="center"/>
    </xf>
    <xf numFmtId="171" fontId="0" fillId="0" borderId="14" xfId="57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16" borderId="14" xfId="0" applyFont="1" applyFill="1" applyBorder="1" applyAlignment="1">
      <alignment horizontal="center" vertical="center"/>
    </xf>
    <xf numFmtId="4" fontId="0" fillId="16" borderId="14" xfId="0" applyNumberFormat="1" applyFont="1" applyFill="1" applyBorder="1" applyAlignment="1">
      <alignment horizontal="right" vertical="center"/>
    </xf>
    <xf numFmtId="0" fontId="2" fillId="16" borderId="0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2" fillId="16" borderId="3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49" fontId="2" fillId="16" borderId="10" xfId="0" applyNumberFormat="1" applyFont="1" applyFill="1" applyBorder="1" applyAlignment="1">
      <alignment horizontal="center" vertical="center" wrapText="1"/>
    </xf>
    <xf numFmtId="171" fontId="0" fillId="16" borderId="11" xfId="57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16" borderId="3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justify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171" fontId="0" fillId="0" borderId="12" xfId="57" applyFont="1" applyFill="1" applyBorder="1" applyAlignment="1">
      <alignment horizontal="right" vertical="center"/>
    </xf>
    <xf numFmtId="4" fontId="0" fillId="0" borderId="11" xfId="0" applyNumberFormat="1" applyBorder="1" applyAlignment="1" applyProtection="1">
      <alignment/>
      <protection/>
    </xf>
    <xf numFmtId="1" fontId="0" fillId="0" borderId="11" xfId="0" applyNumberFormat="1" applyBorder="1" applyAlignment="1" applyProtection="1">
      <alignment vertical="center"/>
      <protection/>
    </xf>
    <xf numFmtId="0" fontId="2" fillId="16" borderId="14" xfId="0" applyFont="1" applyFill="1" applyBorder="1" applyAlignment="1">
      <alignment horizontal="justify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71" fontId="0" fillId="0" borderId="11" xfId="57" applyFont="1" applyFill="1" applyBorder="1" applyAlignment="1">
      <alignment horizontal="left" vertical="center"/>
    </xf>
    <xf numFmtId="171" fontId="0" fillId="0" borderId="11" xfId="57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171" fontId="0" fillId="0" borderId="21" xfId="57" applyFont="1" applyFill="1" applyBorder="1" applyAlignment="1">
      <alignment horizontal="left" vertical="center" wrapText="1"/>
    </xf>
    <xf numFmtId="0" fontId="0" fillId="16" borderId="11" xfId="0" applyFont="1" applyFill="1" applyBorder="1" applyAlignment="1">
      <alignment horizontal="center" vertical="center"/>
    </xf>
    <xf numFmtId="171" fontId="0" fillId="16" borderId="11" xfId="57" applyFont="1" applyFill="1" applyBorder="1" applyAlignment="1">
      <alignment horizontal="left" vertical="center" wrapText="1"/>
    </xf>
    <xf numFmtId="0" fontId="2" fillId="16" borderId="14" xfId="0" applyFont="1" applyFill="1" applyBorder="1" applyAlignment="1">
      <alignment horizontal="center" vertical="center"/>
    </xf>
    <xf numFmtId="0" fontId="35" fillId="16" borderId="21" xfId="0" applyFont="1" applyFill="1" applyBorder="1" applyAlignment="1">
      <alignment horizontal="center" vertical="center" wrapText="1"/>
    </xf>
    <xf numFmtId="1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/>
      <protection/>
    </xf>
    <xf numFmtId="43" fontId="0" fillId="0" borderId="12" xfId="0" applyNumberFormat="1" applyFont="1" applyFill="1" applyBorder="1" applyAlignment="1">
      <alignment horizontal="right" vertical="center"/>
    </xf>
    <xf numFmtId="171" fontId="0" fillId="0" borderId="11" xfId="57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28" xfId="0" applyFont="1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Border="1" applyAlignment="1">
      <alignment/>
    </xf>
    <xf numFmtId="49" fontId="0" fillId="0" borderId="13" xfId="0" applyNumberFormat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25" borderId="0" xfId="51" applyFill="1">
      <alignment/>
      <protection/>
    </xf>
    <xf numFmtId="4" fontId="37" fillId="0" borderId="11" xfId="51" applyNumberFormat="1" applyFont="1" applyFill="1" applyBorder="1" applyAlignment="1">
      <alignment horizontal="right" vertical="top" wrapText="1"/>
      <protection/>
    </xf>
    <xf numFmtId="4" fontId="38" fillId="0" borderId="11" xfId="51" applyNumberFormat="1" applyFont="1" applyFill="1" applyBorder="1" applyAlignment="1">
      <alignment horizontal="right" vertical="center" wrapText="1"/>
      <protection/>
    </xf>
    <xf numFmtId="4" fontId="37" fillId="0" borderId="11" xfId="51" applyNumberFormat="1" applyFont="1" applyFill="1" applyBorder="1" applyAlignment="1">
      <alignment vertical="top" wrapText="1"/>
      <protection/>
    </xf>
    <xf numFmtId="10" fontId="3" fillId="0" borderId="14" xfId="51" applyNumberFormat="1" applyFont="1" applyFill="1" applyBorder="1" applyAlignment="1">
      <alignment vertical="top" wrapText="1"/>
      <protection/>
    </xf>
    <xf numFmtId="4" fontId="3" fillId="0" borderId="22" xfId="51" applyNumberFormat="1" applyFont="1" applyFill="1" applyBorder="1" applyAlignment="1">
      <alignment horizontal="right" vertical="center" wrapText="1"/>
      <protection/>
    </xf>
    <xf numFmtId="0" fontId="0" fillId="25" borderId="13" xfId="51" applyFill="1" applyBorder="1" applyAlignment="1">
      <alignment vertical="center"/>
      <protection/>
    </xf>
    <xf numFmtId="0" fontId="0" fillId="25" borderId="0" xfId="51" applyFill="1" applyBorder="1" applyAlignment="1">
      <alignment vertical="center"/>
      <protection/>
    </xf>
    <xf numFmtId="4" fontId="0" fillId="25" borderId="0" xfId="51" applyNumberFormat="1" applyFill="1" applyBorder="1" applyAlignment="1">
      <alignment vertical="center" wrapText="1"/>
      <protection/>
    </xf>
    <xf numFmtId="0" fontId="0" fillId="25" borderId="0" xfId="51" applyFont="1" applyFill="1" applyBorder="1" applyAlignment="1">
      <alignment vertical="center" wrapText="1"/>
      <protection/>
    </xf>
    <xf numFmtId="0" fontId="2" fillId="0" borderId="0" xfId="51" applyNumberFormat="1" applyFont="1" applyFill="1" applyBorder="1" applyAlignment="1">
      <alignment vertical="center" wrapText="1"/>
      <protection/>
    </xf>
    <xf numFmtId="4" fontId="0" fillId="25" borderId="0" xfId="51" applyNumberFormat="1" applyFill="1" applyAlignment="1">
      <alignment wrapText="1"/>
      <protection/>
    </xf>
    <xf numFmtId="0" fontId="0" fillId="25" borderId="0" xfId="51" applyFont="1" applyFill="1" applyAlignment="1">
      <alignment wrapText="1"/>
      <protection/>
    </xf>
    <xf numFmtId="0" fontId="2" fillId="0" borderId="0" xfId="51" applyNumberFormat="1" applyFont="1" applyFill="1" applyBorder="1" applyAlignment="1">
      <alignment horizontal="center" vertical="center" wrapText="1"/>
      <protection/>
    </xf>
    <xf numFmtId="171" fontId="2" fillId="16" borderId="11" xfId="57" applyFont="1" applyFill="1" applyBorder="1" applyAlignment="1">
      <alignment horizontal="center" vertical="center"/>
    </xf>
    <xf numFmtId="171" fontId="2" fillId="16" borderId="14" xfId="57" applyFont="1" applyFill="1" applyBorder="1" applyAlignment="1">
      <alignment horizontal="center" vertical="center"/>
    </xf>
    <xf numFmtId="171" fontId="2" fillId="16" borderId="11" xfId="57" applyFont="1" applyFill="1" applyBorder="1" applyAlignment="1">
      <alignment horizontal="right" vertical="center"/>
    </xf>
    <xf numFmtId="10" fontId="3" fillId="16" borderId="34" xfId="51" applyNumberFormat="1" applyFont="1" applyFill="1" applyBorder="1" applyAlignment="1">
      <alignment vertical="top" wrapText="1"/>
      <protection/>
    </xf>
    <xf numFmtId="4" fontId="37" fillId="0" borderId="35" xfId="51" applyNumberFormat="1" applyFont="1" applyFill="1" applyBorder="1" applyAlignment="1">
      <alignment horizontal="right" vertical="top" wrapText="1"/>
      <protection/>
    </xf>
    <xf numFmtId="4" fontId="38" fillId="0" borderId="35" xfId="51" applyNumberFormat="1" applyFont="1" applyFill="1" applyBorder="1" applyAlignment="1">
      <alignment horizontal="right" vertical="center" wrapText="1"/>
      <protection/>
    </xf>
    <xf numFmtId="4" fontId="37" fillId="0" borderId="35" xfId="51" applyNumberFormat="1" applyFont="1" applyFill="1" applyBorder="1" applyAlignment="1">
      <alignment vertical="top" wrapText="1"/>
      <protection/>
    </xf>
    <xf numFmtId="10" fontId="3" fillId="0" borderId="34" xfId="51" applyNumberFormat="1" applyFont="1" applyFill="1" applyBorder="1" applyAlignment="1">
      <alignment vertical="top" wrapText="1"/>
      <protection/>
    </xf>
    <xf numFmtId="4" fontId="38" fillId="0" borderId="34" xfId="51" applyNumberFormat="1" applyFont="1" applyFill="1" applyBorder="1" applyAlignment="1">
      <alignment horizontal="right" vertical="center" wrapText="1"/>
      <protection/>
    </xf>
    <xf numFmtId="4" fontId="37" fillId="0" borderId="34" xfId="51" applyNumberFormat="1" applyFont="1" applyFill="1" applyBorder="1" applyAlignment="1">
      <alignment vertical="top" wrapText="1"/>
      <protection/>
    </xf>
    <xf numFmtId="4" fontId="37" fillId="0" borderId="22" xfId="51" applyNumberFormat="1" applyFont="1" applyFill="1" applyBorder="1" applyAlignment="1">
      <alignment horizontal="right" vertical="top" wrapText="1"/>
      <protection/>
    </xf>
    <xf numFmtId="4" fontId="37" fillId="0" borderId="22" xfId="51" applyNumberFormat="1" applyFont="1" applyFill="1" applyBorder="1" applyAlignment="1">
      <alignment vertical="top" wrapText="1"/>
      <protection/>
    </xf>
    <xf numFmtId="4" fontId="37" fillId="0" borderId="24" xfId="51" applyNumberFormat="1" applyFont="1" applyFill="1" applyBorder="1" applyAlignment="1">
      <alignment horizontal="right" vertical="top" wrapText="1"/>
      <protection/>
    </xf>
    <xf numFmtId="4" fontId="38" fillId="0" borderId="24" xfId="51" applyNumberFormat="1" applyFont="1" applyFill="1" applyBorder="1" applyAlignment="1">
      <alignment horizontal="right" vertical="center" wrapText="1"/>
      <protection/>
    </xf>
    <xf numFmtId="4" fontId="37" fillId="0" borderId="24" xfId="51" applyNumberFormat="1" applyFont="1" applyFill="1" applyBorder="1" applyAlignment="1">
      <alignment vertical="top" wrapText="1"/>
      <protection/>
    </xf>
    <xf numFmtId="4" fontId="0" fillId="25" borderId="0" xfId="51" applyNumberFormat="1" applyFill="1">
      <alignment/>
      <protection/>
    </xf>
    <xf numFmtId="39" fontId="39" fillId="16" borderId="17" xfId="57" applyNumberFormat="1" applyFont="1" applyFill="1" applyBorder="1" applyAlignment="1">
      <alignment vertical="top" wrapText="1"/>
    </xf>
    <xf numFmtId="10" fontId="3" fillId="16" borderId="17" xfId="51" applyNumberFormat="1" applyFont="1" applyFill="1" applyBorder="1" applyAlignment="1">
      <alignment horizontal="right" vertical="center" wrapText="1"/>
      <protection/>
    </xf>
    <xf numFmtId="1" fontId="0" fillId="0" borderId="14" xfId="0" applyNumberFormat="1" applyBorder="1" applyAlignment="1" applyProtection="1">
      <alignment vertical="center"/>
      <protection/>
    </xf>
    <xf numFmtId="1" fontId="0" fillId="0" borderId="14" xfId="0" applyNumberFormat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2" fontId="2" fillId="0" borderId="0" xfId="0" applyNumberFormat="1" applyFont="1" applyAlignment="1">
      <alignment/>
    </xf>
    <xf numFmtId="0" fontId="2" fillId="25" borderId="19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wrapText="1"/>
    </xf>
    <xf numFmtId="0" fontId="2" fillId="16" borderId="36" xfId="0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left" vertical="center" wrapText="1"/>
    </xf>
    <xf numFmtId="49" fontId="0" fillId="16" borderId="37" xfId="0" applyNumberFormat="1" applyFont="1" applyFill="1" applyBorder="1" applyAlignment="1">
      <alignment horizontal="left" vertical="center" wrapText="1"/>
    </xf>
    <xf numFmtId="49" fontId="0" fillId="16" borderId="37" xfId="0" applyNumberFormat="1" applyFont="1" applyFill="1" applyBorder="1" applyAlignment="1">
      <alignment horizontal="center" vertical="center" wrapText="1"/>
    </xf>
    <xf numFmtId="0" fontId="2" fillId="16" borderId="38" xfId="0" applyFont="1" applyFill="1" applyBorder="1" applyAlignment="1">
      <alignment horizontal="left" vertical="center"/>
    </xf>
    <xf numFmtId="49" fontId="2" fillId="16" borderId="37" xfId="0" applyNumberFormat="1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 vertical="center" wrapText="1"/>
    </xf>
    <xf numFmtId="171" fontId="2" fillId="16" borderId="39" xfId="0" applyNumberFormat="1" applyFont="1" applyFill="1" applyBorder="1" applyAlignment="1">
      <alignment horizontal="center" vertical="center" wrapText="1"/>
    </xf>
    <xf numFmtId="171" fontId="2" fillId="0" borderId="4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174" fontId="2" fillId="0" borderId="2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17" fontId="2" fillId="0" borderId="39" xfId="0" applyNumberFormat="1" applyFont="1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10" fontId="4" fillId="0" borderId="39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171" fontId="2" fillId="0" borderId="0" xfId="57" applyFont="1" applyFill="1" applyBorder="1" applyAlignment="1">
      <alignment horizontal="center" vertical="center" wrapText="1"/>
    </xf>
    <xf numFmtId="171" fontId="2" fillId="0" borderId="0" xfId="57" applyFont="1" applyFill="1" applyBorder="1" applyAlignment="1">
      <alignment horizontal="right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71" fontId="2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37" fillId="16" borderId="34" xfId="51" applyNumberFormat="1" applyFont="1" applyFill="1" applyBorder="1" applyAlignment="1">
      <alignment horizontal="right" vertical="top" wrapText="1"/>
      <protection/>
    </xf>
    <xf numFmtId="10" fontId="3" fillId="16" borderId="34" xfId="51" applyNumberFormat="1" applyFont="1" applyFill="1" applyBorder="1" applyAlignment="1">
      <alignment horizontal="right" vertical="center" wrapText="1"/>
      <protection/>
    </xf>
    <xf numFmtId="10" fontId="37" fillId="16" borderId="34" xfId="55" applyNumberFormat="1" applyFont="1" applyFill="1" applyBorder="1" applyAlignment="1">
      <alignment horizontal="right" vertical="top" wrapText="1"/>
    </xf>
    <xf numFmtId="10" fontId="37" fillId="16" borderId="14" xfId="51" applyNumberFormat="1" applyFont="1" applyFill="1" applyBorder="1" applyAlignment="1">
      <alignment horizontal="right" vertical="top" wrapText="1"/>
      <protection/>
    </xf>
    <xf numFmtId="10" fontId="3" fillId="16" borderId="14" xfId="51" applyNumberFormat="1" applyFont="1" applyFill="1" applyBorder="1" applyAlignment="1">
      <alignment horizontal="right" vertical="center" wrapText="1"/>
      <protection/>
    </xf>
    <xf numFmtId="9" fontId="39" fillId="16" borderId="17" xfId="55" applyFont="1" applyFill="1" applyBorder="1" applyAlignment="1">
      <alignment horizontal="right" vertical="top" wrapText="1"/>
    </xf>
    <xf numFmtId="4" fontId="37" fillId="0" borderId="44" xfId="51" applyNumberFormat="1" applyFont="1" applyFill="1" applyBorder="1" applyAlignment="1">
      <alignment vertical="top" wrapText="1"/>
      <protection/>
    </xf>
    <xf numFmtId="10" fontId="3" fillId="0" borderId="45" xfId="51" applyNumberFormat="1" applyFont="1" applyFill="1" applyBorder="1" applyAlignment="1">
      <alignment vertical="top" wrapText="1"/>
      <protection/>
    </xf>
    <xf numFmtId="0" fontId="0" fillId="25" borderId="45" xfId="51" applyFill="1" applyBorder="1">
      <alignment/>
      <protection/>
    </xf>
    <xf numFmtId="0" fontId="0" fillId="25" borderId="28" xfId="51" applyFill="1" applyBorder="1">
      <alignment/>
      <protection/>
    </xf>
    <xf numFmtId="4" fontId="37" fillId="0" borderId="36" xfId="51" applyNumberFormat="1" applyFont="1" applyFill="1" applyBorder="1" applyAlignment="1">
      <alignment vertical="top" wrapText="1"/>
      <protection/>
    </xf>
    <xf numFmtId="4" fontId="37" fillId="0" borderId="45" xfId="51" applyNumberFormat="1" applyFont="1" applyFill="1" applyBorder="1" applyAlignment="1">
      <alignment vertical="top" wrapText="1"/>
      <protection/>
    </xf>
    <xf numFmtId="4" fontId="37" fillId="0" borderId="42" xfId="51" applyNumberFormat="1" applyFont="1" applyFill="1" applyBorder="1" applyAlignment="1">
      <alignment vertical="top" wrapText="1"/>
      <protection/>
    </xf>
    <xf numFmtId="4" fontId="37" fillId="0" borderId="38" xfId="51" applyNumberFormat="1" applyFont="1" applyFill="1" applyBorder="1" applyAlignment="1">
      <alignment vertical="top" wrapText="1"/>
      <protection/>
    </xf>
    <xf numFmtId="39" fontId="39" fillId="16" borderId="39" xfId="57" applyNumberFormat="1" applyFont="1" applyFill="1" applyBorder="1" applyAlignment="1">
      <alignment vertical="top" wrapText="1"/>
    </xf>
    <xf numFmtId="0" fontId="0" fillId="25" borderId="28" xfId="51" applyFill="1" applyBorder="1" applyAlignment="1">
      <alignment vertical="center"/>
      <protection/>
    </xf>
    <xf numFmtId="0" fontId="2" fillId="0" borderId="13" xfId="51" applyFont="1" applyFill="1" applyBorder="1" applyAlignment="1">
      <alignment vertical="center" wrapText="1"/>
      <protection/>
    </xf>
    <xf numFmtId="0" fontId="2" fillId="0" borderId="0" xfId="51" applyFont="1" applyFill="1" applyBorder="1" applyAlignment="1">
      <alignment vertical="center" wrapText="1"/>
      <protection/>
    </xf>
    <xf numFmtId="0" fontId="2" fillId="0" borderId="28" xfId="51" applyFont="1" applyFill="1" applyBorder="1" applyAlignment="1">
      <alignment vertical="center" wrapText="1"/>
      <protection/>
    </xf>
    <xf numFmtId="0" fontId="2" fillId="0" borderId="18" xfId="51" applyFont="1" applyFill="1" applyBorder="1" applyAlignment="1">
      <alignment vertical="center" wrapText="1"/>
      <protection/>
    </xf>
    <xf numFmtId="0" fontId="2" fillId="0" borderId="19" xfId="51" applyFont="1" applyFill="1" applyBorder="1" applyAlignment="1">
      <alignment vertical="center" wrapText="1"/>
      <protection/>
    </xf>
    <xf numFmtId="0" fontId="2" fillId="0" borderId="29" xfId="51" applyFont="1" applyFill="1" applyBorder="1" applyAlignment="1">
      <alignment vertical="center" wrapText="1"/>
      <protection/>
    </xf>
    <xf numFmtId="170" fontId="2" fillId="25" borderId="39" xfId="48" applyFont="1" applyFill="1" applyBorder="1" applyAlignment="1">
      <alignment/>
    </xf>
    <xf numFmtId="170" fontId="2" fillId="25" borderId="17" xfId="48" applyFont="1" applyFill="1" applyBorder="1" applyAlignment="1">
      <alignment/>
    </xf>
    <xf numFmtId="0" fontId="2" fillId="17" borderId="16" xfId="51" applyFont="1" applyFill="1" applyBorder="1" applyAlignment="1">
      <alignment horizontal="center" vertical="center"/>
      <protection/>
    </xf>
    <xf numFmtId="0" fontId="2" fillId="17" borderId="22" xfId="51" applyFont="1" applyFill="1" applyBorder="1" applyAlignment="1">
      <alignment horizontal="center" vertical="center"/>
      <protection/>
    </xf>
    <xf numFmtId="4" fontId="2" fillId="17" borderId="17" xfId="51" applyNumberFormat="1" applyFont="1" applyFill="1" applyBorder="1" applyAlignment="1">
      <alignment horizontal="center" vertical="center" wrapText="1"/>
      <protection/>
    </xf>
    <xf numFmtId="0" fontId="2" fillId="17" borderId="17" xfId="51" applyFont="1" applyFill="1" applyBorder="1" applyAlignment="1">
      <alignment horizontal="center" vertical="center" wrapText="1"/>
      <protection/>
    </xf>
    <xf numFmtId="0" fontId="2" fillId="17" borderId="17" xfId="51" applyFont="1" applyFill="1" applyBorder="1" applyAlignment="1">
      <alignment horizontal="center" vertical="center"/>
      <protection/>
    </xf>
    <xf numFmtId="0" fontId="2" fillId="17" borderId="39" xfId="51" applyFont="1" applyFill="1" applyBorder="1" applyAlignment="1">
      <alignment horizontal="center" vertical="center"/>
      <protection/>
    </xf>
    <xf numFmtId="10" fontId="39" fillId="16" borderId="45" xfId="51" applyNumberFormat="1" applyFont="1" applyFill="1" applyBorder="1" applyAlignment="1">
      <alignment vertical="top" wrapText="1"/>
      <protection/>
    </xf>
    <xf numFmtId="10" fontId="3" fillId="16" borderId="45" xfId="51" applyNumberFormat="1" applyFont="1" applyFill="1" applyBorder="1" applyAlignment="1">
      <alignment vertical="top" wrapText="1"/>
      <protection/>
    </xf>
    <xf numFmtId="10" fontId="3" fillId="16" borderId="46" xfId="51" applyNumberFormat="1" applyFont="1" applyFill="1" applyBorder="1" applyAlignment="1">
      <alignment vertical="top" wrapText="1"/>
      <protection/>
    </xf>
    <xf numFmtId="170" fontId="40" fillId="0" borderId="22" xfId="48" applyFont="1" applyFill="1" applyBorder="1" applyAlignment="1">
      <alignment horizontal="right" vertical="top" wrapText="1"/>
    </xf>
    <xf numFmtId="0" fontId="2" fillId="0" borderId="47" xfId="0" applyFont="1" applyBorder="1" applyAlignment="1">
      <alignment horizontal="center" vertical="center"/>
    </xf>
    <xf numFmtId="2" fontId="0" fillId="0" borderId="3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2" fontId="0" fillId="0" borderId="35" xfId="0" applyNumberFormat="1" applyBorder="1" applyAlignment="1">
      <alignment horizontal="center"/>
    </xf>
    <xf numFmtId="0" fontId="0" fillId="0" borderId="51" xfId="0" applyFill="1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52" xfId="0" applyBorder="1" applyAlignment="1">
      <alignment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/>
    </xf>
    <xf numFmtId="0" fontId="0" fillId="0" borderId="56" xfId="0" applyBorder="1" applyAlignment="1">
      <alignment/>
    </xf>
    <xf numFmtId="0" fontId="2" fillId="0" borderId="57" xfId="0" applyFont="1" applyBorder="1" applyAlignment="1">
      <alignment/>
    </xf>
    <xf numFmtId="2" fontId="2" fillId="0" borderId="58" xfId="0" applyNumberFormat="1" applyFont="1" applyBorder="1" applyAlignment="1">
      <alignment horizontal="center"/>
    </xf>
    <xf numFmtId="0" fontId="0" fillId="0" borderId="59" xfId="0" applyBorder="1" applyAlignment="1">
      <alignment/>
    </xf>
    <xf numFmtId="0" fontId="0" fillId="16" borderId="20" xfId="0" applyFill="1" applyBorder="1" applyAlignment="1">
      <alignment/>
    </xf>
    <xf numFmtId="0" fontId="2" fillId="17" borderId="6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2" fillId="16" borderId="36" xfId="0" applyFont="1" applyFill="1" applyBorder="1" applyAlignment="1">
      <alignment horizontal="center" vertical="center"/>
    </xf>
    <xf numFmtId="0" fontId="2" fillId="16" borderId="34" xfId="0" applyFont="1" applyFill="1" applyBorder="1" applyAlignment="1">
      <alignment horizontal="center" vertical="center" wrapText="1"/>
    </xf>
    <xf numFmtId="0" fontId="2" fillId="16" borderId="61" xfId="0" applyFont="1" applyFill="1" applyBorder="1" applyAlignment="1">
      <alignment horizontal="center" vertical="center"/>
    </xf>
    <xf numFmtId="0" fontId="2" fillId="16" borderId="23" xfId="0" applyFont="1" applyFill="1" applyBorder="1" applyAlignment="1">
      <alignment horizontal="center" vertical="center"/>
    </xf>
    <xf numFmtId="171" fontId="2" fillId="16" borderId="34" xfId="57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16" borderId="62" xfId="0" applyFont="1" applyFill="1" applyBorder="1" applyAlignment="1">
      <alignment horizontal="center" vertical="center"/>
    </xf>
    <xf numFmtId="171" fontId="2" fillId="16" borderId="12" xfId="57" applyFont="1" applyFill="1" applyBorder="1" applyAlignment="1">
      <alignment horizontal="center" vertical="center" wrapText="1"/>
    </xf>
    <xf numFmtId="0" fontId="2" fillId="16" borderId="63" xfId="0" applyFont="1" applyFill="1" applyBorder="1" applyAlignment="1">
      <alignment horizontal="center" vertical="center"/>
    </xf>
    <xf numFmtId="0" fontId="2" fillId="16" borderId="64" xfId="0" applyFont="1" applyFill="1" applyBorder="1" applyAlignment="1">
      <alignment horizontal="center" vertical="center"/>
    </xf>
    <xf numFmtId="0" fontId="2" fillId="16" borderId="34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49" fontId="0" fillId="0" borderId="63" xfId="51" applyNumberFormat="1" applyFont="1" applyFill="1" applyBorder="1" applyAlignment="1">
      <alignment horizontal="center" vertical="center" wrapText="1"/>
      <protection/>
    </xf>
    <xf numFmtId="0" fontId="0" fillId="0" borderId="67" xfId="51" applyFill="1" applyBorder="1" applyAlignment="1">
      <alignment horizontal="center" vertical="center" wrapText="1"/>
      <protection/>
    </xf>
    <xf numFmtId="0" fontId="0" fillId="0" borderId="34" xfId="51" applyFill="1" applyBorder="1" applyAlignment="1">
      <alignment vertical="center" wrapText="1"/>
      <protection/>
    </xf>
    <xf numFmtId="0" fontId="0" fillId="0" borderId="35" xfId="51" applyFill="1" applyBorder="1" applyAlignment="1">
      <alignment vertical="center" wrapText="1"/>
      <protection/>
    </xf>
    <xf numFmtId="0" fontId="36" fillId="0" borderId="26" xfId="51" applyFont="1" applyFill="1" applyBorder="1" applyAlignment="1">
      <alignment horizontal="center" vertical="center"/>
      <protection/>
    </xf>
    <xf numFmtId="0" fontId="36" fillId="0" borderId="20" xfId="51" applyFont="1" applyFill="1" applyBorder="1" applyAlignment="1">
      <alignment horizontal="center" vertical="center"/>
      <protection/>
    </xf>
    <xf numFmtId="0" fontId="36" fillId="0" borderId="27" xfId="51" applyFont="1" applyFill="1" applyBorder="1" applyAlignment="1">
      <alignment horizontal="center" vertical="center"/>
      <protection/>
    </xf>
    <xf numFmtId="0" fontId="2" fillId="0" borderId="13" xfId="5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28" xfId="51" applyFont="1" applyFill="1" applyBorder="1" applyAlignment="1">
      <alignment horizontal="center" vertical="center"/>
      <protection/>
    </xf>
    <xf numFmtId="0" fontId="2" fillId="0" borderId="65" xfId="51" applyFont="1" applyFill="1" applyBorder="1" applyAlignment="1">
      <alignment horizontal="center" vertical="center"/>
      <protection/>
    </xf>
    <xf numFmtId="0" fontId="2" fillId="0" borderId="66" xfId="51" applyFont="1" applyFill="1" applyBorder="1" applyAlignment="1">
      <alignment horizontal="center" vertical="center"/>
      <protection/>
    </xf>
    <xf numFmtId="0" fontId="2" fillId="0" borderId="68" xfId="51" applyFont="1" applyFill="1" applyBorder="1" applyAlignment="1">
      <alignment horizontal="center" vertical="center"/>
      <protection/>
    </xf>
    <xf numFmtId="0" fontId="0" fillId="0" borderId="63" xfId="51" applyNumberFormat="1" applyFont="1" applyFill="1" applyBorder="1" applyAlignment="1">
      <alignment horizontal="center" vertical="center" wrapText="1"/>
      <protection/>
    </xf>
    <xf numFmtId="0" fontId="0" fillId="0" borderId="69" xfId="51" applyFill="1" applyBorder="1" applyAlignment="1">
      <alignment horizontal="left" vertical="center" wrapText="1"/>
      <protection/>
    </xf>
    <xf numFmtId="0" fontId="0" fillId="0" borderId="22" xfId="51" applyFill="1" applyBorder="1" applyAlignment="1">
      <alignment horizontal="left" vertical="center" wrapText="1"/>
      <protection/>
    </xf>
    <xf numFmtId="0" fontId="2" fillId="0" borderId="0" xfId="51" applyNumberFormat="1" applyFont="1" applyFill="1" applyBorder="1" applyAlignment="1">
      <alignment horizontal="center" vertical="center" wrapText="1"/>
      <protection/>
    </xf>
    <xf numFmtId="0" fontId="2" fillId="16" borderId="70" xfId="51" applyFont="1" applyFill="1" applyBorder="1" applyAlignment="1">
      <alignment horizontal="center" vertical="center" wrapText="1"/>
      <protection/>
    </xf>
    <xf numFmtId="0" fontId="2" fillId="16" borderId="71" xfId="51" applyFont="1" applyFill="1" applyBorder="1" applyAlignment="1">
      <alignment horizontal="center" vertical="center" wrapText="1"/>
      <protection/>
    </xf>
    <xf numFmtId="0" fontId="2" fillId="16" borderId="65" xfId="51" applyFont="1" applyFill="1" applyBorder="1" applyAlignment="1">
      <alignment horizontal="center" vertical="center" wrapText="1"/>
      <protection/>
    </xf>
    <xf numFmtId="0" fontId="2" fillId="16" borderId="72" xfId="51" applyFont="1" applyFill="1" applyBorder="1" applyAlignment="1">
      <alignment horizontal="center" vertical="center" wrapText="1"/>
      <protection/>
    </xf>
    <xf numFmtId="49" fontId="0" fillId="0" borderId="73" xfId="51" applyNumberFormat="1" applyFont="1" applyFill="1" applyBorder="1" applyAlignment="1">
      <alignment horizontal="center" vertical="center" wrapText="1"/>
      <protection/>
    </xf>
    <xf numFmtId="49" fontId="0" fillId="0" borderId="74" xfId="51" applyNumberFormat="1" applyFont="1" applyFill="1" applyBorder="1" applyAlignment="1">
      <alignment horizontal="center" vertical="center" wrapText="1"/>
      <protection/>
    </xf>
    <xf numFmtId="0" fontId="0" fillId="0" borderId="24" xfId="51" applyFill="1" applyBorder="1" applyAlignment="1">
      <alignment horizontal="left" vertical="center" wrapText="1"/>
      <protection/>
    </xf>
    <xf numFmtId="0" fontId="0" fillId="0" borderId="14" xfId="51" applyFill="1" applyBorder="1" applyAlignment="1">
      <alignment horizontal="left" vertical="center" wrapText="1"/>
      <protection/>
    </xf>
    <xf numFmtId="0" fontId="0" fillId="0" borderId="69" xfId="51" applyFont="1" applyFill="1" applyBorder="1" applyAlignment="1">
      <alignment horizontal="left" vertical="center" wrapText="1"/>
      <protection/>
    </xf>
    <xf numFmtId="0" fontId="2" fillId="0" borderId="19" xfId="51" applyFont="1" applyFill="1" applyBorder="1" applyAlignment="1">
      <alignment horizontal="center" vertical="top" wrapText="1"/>
      <protection/>
    </xf>
    <xf numFmtId="0" fontId="2" fillId="0" borderId="0" xfId="51" applyFont="1" applyFill="1" applyBorder="1" applyAlignment="1">
      <alignment horizontal="center" wrapText="1"/>
      <protection/>
    </xf>
    <xf numFmtId="49" fontId="0" fillId="0" borderId="33" xfId="51" applyNumberFormat="1" applyFont="1" applyFill="1" applyBorder="1" applyAlignment="1">
      <alignment horizontal="center" vertical="center" wrapText="1"/>
      <protection/>
    </xf>
    <xf numFmtId="49" fontId="0" fillId="0" borderId="25" xfId="51" applyNumberFormat="1" applyFont="1" applyFill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0" fillId="0" borderId="81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3" xfId="52"/>
    <cellStyle name="Normal 85" xfId="53"/>
    <cellStyle name="Nota" xfId="54"/>
    <cellStyle name="Percent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114</xdr:row>
      <xdr:rowOff>0</xdr:rowOff>
    </xdr:from>
    <xdr:to>
      <xdr:col>5</xdr:col>
      <xdr:colOff>47625</xdr:colOff>
      <xdr:row>114</xdr:row>
      <xdr:rowOff>47625</xdr:rowOff>
    </xdr:to>
    <xdr:pic>
      <xdr:nvPicPr>
        <xdr:cNvPr id="1" name="Picture 158" descr="p_tran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21069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3924300</xdr:colOff>
      <xdr:row>97</xdr:row>
      <xdr:rowOff>0</xdr:rowOff>
    </xdr:from>
    <xdr:ext cx="104775" cy="314325"/>
    <xdr:sp fLocksText="0">
      <xdr:nvSpPr>
        <xdr:cNvPr id="2" name="Text Box 160"/>
        <xdr:cNvSpPr txBox="1">
          <a:spLocks noChangeArrowheads="1"/>
        </xdr:cNvSpPr>
      </xdr:nvSpPr>
      <xdr:spPr>
        <a:xfrm>
          <a:off x="4295775" y="1796415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3409950</xdr:colOff>
      <xdr:row>97</xdr:row>
      <xdr:rowOff>66675</xdr:rowOff>
    </xdr:from>
    <xdr:to>
      <xdr:col>1</xdr:col>
      <xdr:colOff>6800850</xdr:colOff>
      <xdr:row>98</xdr:row>
      <xdr:rowOff>114300</xdr:rowOff>
    </xdr:to>
    <xdr:sp fLocksText="0">
      <xdr:nvSpPr>
        <xdr:cNvPr id="3" name="Text Box 161"/>
        <xdr:cNvSpPr txBox="1">
          <a:spLocks noChangeArrowheads="1"/>
        </xdr:cNvSpPr>
      </xdr:nvSpPr>
      <xdr:spPr>
        <a:xfrm>
          <a:off x="3781425" y="18030825"/>
          <a:ext cx="3390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6096000</xdr:colOff>
      <xdr:row>97</xdr:row>
      <xdr:rowOff>161925</xdr:rowOff>
    </xdr:from>
    <xdr:ext cx="2562225" cy="19050"/>
    <xdr:sp fLocksText="0">
      <xdr:nvSpPr>
        <xdr:cNvPr id="4" name="Text Box 162"/>
        <xdr:cNvSpPr txBox="1">
          <a:spLocks noChangeArrowheads="1"/>
        </xdr:cNvSpPr>
      </xdr:nvSpPr>
      <xdr:spPr>
        <a:xfrm>
          <a:off x="6467475" y="18126075"/>
          <a:ext cx="25622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285750</xdr:colOff>
      <xdr:row>0</xdr:row>
      <xdr:rowOff>171450</xdr:rowOff>
    </xdr:from>
    <xdr:to>
      <xdr:col>1</xdr:col>
      <xdr:colOff>781050</xdr:colOff>
      <xdr:row>3</xdr:row>
      <xdr:rowOff>171450</xdr:rowOff>
    </xdr:to>
    <xdr:pic>
      <xdr:nvPicPr>
        <xdr:cNvPr id="5" name="Imagem 2" descr="brasa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7145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66675</xdr:rowOff>
    </xdr:from>
    <xdr:to>
      <xdr:col>1</xdr:col>
      <xdr:colOff>295275</xdr:colOff>
      <xdr:row>2</xdr:row>
      <xdr:rowOff>66675</xdr:rowOff>
    </xdr:to>
    <xdr:pic>
      <xdr:nvPicPr>
        <xdr:cNvPr id="1" name="Imagem 2" descr="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676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3"/>
  <sheetViews>
    <sheetView showGridLines="0" tabSelected="1" view="pageBreakPreview" zoomScaleNormal="85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5.57421875" style="3" bestFit="1" customWidth="1"/>
    <col min="2" max="2" width="105.421875" style="6" customWidth="1"/>
    <col min="3" max="3" width="7.421875" style="7" bestFit="1" customWidth="1"/>
    <col min="4" max="4" width="10.00390625" style="8" customWidth="1"/>
    <col min="5" max="5" width="11.00390625" style="9" bestFit="1" customWidth="1"/>
    <col min="6" max="6" width="10.28125" style="9" bestFit="1" customWidth="1"/>
    <col min="7" max="7" width="11.00390625" style="9" bestFit="1" customWidth="1"/>
    <col min="8" max="8" width="10.28125" style="9" bestFit="1" customWidth="1"/>
    <col min="9" max="9" width="15.7109375" style="4" bestFit="1" customWidth="1"/>
    <col min="10" max="10" width="14.421875" style="4" customWidth="1"/>
    <col min="11" max="12" width="16.421875" style="4" customWidth="1"/>
    <col min="13" max="13" width="22.28125" style="3" customWidth="1"/>
    <col min="14" max="14" width="37.7109375" style="3" bestFit="1" customWidth="1"/>
    <col min="15" max="15" width="10.28125" style="3" bestFit="1" customWidth="1"/>
    <col min="16" max="16" width="16.7109375" style="3" customWidth="1"/>
    <col min="17" max="16384" width="9.140625" style="3" customWidth="1"/>
  </cols>
  <sheetData>
    <row r="1" spans="1:13" s="1" customFormat="1" ht="19.5" customHeight="1">
      <c r="A1" s="313" t="s">
        <v>9</v>
      </c>
      <c r="B1" s="314"/>
      <c r="C1" s="314"/>
      <c r="D1" s="314"/>
      <c r="E1" s="314"/>
      <c r="F1" s="314"/>
      <c r="G1" s="314"/>
      <c r="H1" s="314"/>
      <c r="I1" s="238"/>
      <c r="J1" s="239"/>
      <c r="K1" s="48"/>
      <c r="L1" s="48"/>
      <c r="M1" s="10"/>
    </row>
    <row r="2" spans="1:13" s="1" customFormat="1" ht="16.5" customHeight="1">
      <c r="A2" s="327"/>
      <c r="B2" s="328"/>
      <c r="C2" s="328"/>
      <c r="D2" s="328"/>
      <c r="E2" s="328"/>
      <c r="F2" s="328"/>
      <c r="G2" s="328"/>
      <c r="H2" s="328"/>
      <c r="I2" s="91"/>
      <c r="J2" s="240"/>
      <c r="K2" s="48"/>
      <c r="L2" s="48"/>
      <c r="M2" s="10"/>
    </row>
    <row r="3" spans="1:13" s="1" customFormat="1" ht="15" customHeight="1">
      <c r="A3" s="36"/>
      <c r="B3" s="328" t="s">
        <v>345</v>
      </c>
      <c r="C3" s="328"/>
      <c r="D3" s="328"/>
      <c r="E3" s="328"/>
      <c r="F3" s="328"/>
      <c r="G3" s="328"/>
      <c r="H3" s="328"/>
      <c r="I3" s="91"/>
      <c r="J3" s="241" t="s">
        <v>349</v>
      </c>
      <c r="K3" s="48"/>
      <c r="L3" s="48"/>
      <c r="M3" s="10"/>
    </row>
    <row r="4" spans="1:13" s="1" customFormat="1" ht="14.25" customHeight="1">
      <c r="A4" s="315" t="s">
        <v>346</v>
      </c>
      <c r="B4" s="316"/>
      <c r="C4" s="316"/>
      <c r="D4" s="316"/>
      <c r="E4" s="316"/>
      <c r="F4" s="316"/>
      <c r="G4" s="316"/>
      <c r="H4" s="316"/>
      <c r="I4" s="91"/>
      <c r="J4" s="242" t="s">
        <v>347</v>
      </c>
      <c r="K4" s="49"/>
      <c r="L4" s="49"/>
      <c r="M4" s="11"/>
    </row>
    <row r="5" spans="1:13" s="1" customFormat="1" ht="15.75" customHeight="1">
      <c r="A5" s="325"/>
      <c r="B5" s="326"/>
      <c r="C5" s="326"/>
      <c r="D5" s="326"/>
      <c r="E5" s="326"/>
      <c r="F5" s="326"/>
      <c r="G5" s="326"/>
      <c r="H5" s="326"/>
      <c r="I5" s="91"/>
      <c r="J5" s="243">
        <v>0.3</v>
      </c>
      <c r="K5" s="50"/>
      <c r="L5" s="50"/>
      <c r="M5" s="11"/>
    </row>
    <row r="6" spans="1:12" s="2" customFormat="1" ht="15" customHeight="1">
      <c r="A6" s="321" t="s">
        <v>4</v>
      </c>
      <c r="B6" s="309" t="s">
        <v>5</v>
      </c>
      <c r="C6" s="323" t="s">
        <v>3</v>
      </c>
      <c r="D6" s="312" t="s">
        <v>0</v>
      </c>
      <c r="E6" s="309" t="s">
        <v>10</v>
      </c>
      <c r="F6" s="309"/>
      <c r="G6" s="309" t="s">
        <v>348</v>
      </c>
      <c r="H6" s="309"/>
      <c r="I6" s="310" t="s">
        <v>2</v>
      </c>
      <c r="J6" s="319" t="s">
        <v>8</v>
      </c>
      <c r="K6" s="51"/>
      <c r="L6" s="51"/>
    </row>
    <row r="7" spans="1:12" s="2" customFormat="1" ht="12.75">
      <c r="A7" s="322"/>
      <c r="B7" s="329"/>
      <c r="C7" s="324"/>
      <c r="D7" s="320"/>
      <c r="E7" s="17" t="s">
        <v>1</v>
      </c>
      <c r="F7" s="17" t="s">
        <v>6</v>
      </c>
      <c r="G7" s="17" t="s">
        <v>1</v>
      </c>
      <c r="H7" s="17" t="s">
        <v>6</v>
      </c>
      <c r="I7" s="311"/>
      <c r="J7" s="308"/>
      <c r="K7" s="51"/>
      <c r="L7" s="51"/>
    </row>
    <row r="8" spans="1:12" s="2" customFormat="1" ht="12.75">
      <c r="A8" s="154">
        <v>1</v>
      </c>
      <c r="B8" s="95" t="s">
        <v>107</v>
      </c>
      <c r="C8" s="88"/>
      <c r="D8" s="87"/>
      <c r="E8" s="17"/>
      <c r="F8" s="17"/>
      <c r="G8" s="94"/>
      <c r="H8" s="17">
        <f>SUM(H9:H11)</f>
        <v>4019.1826760215</v>
      </c>
      <c r="I8" s="86"/>
      <c r="J8" s="225"/>
      <c r="K8" s="51"/>
      <c r="L8" s="51"/>
    </row>
    <row r="9" spans="1:28" ht="12.75">
      <c r="A9" s="14" t="s">
        <v>22</v>
      </c>
      <c r="B9" s="155" t="s">
        <v>224</v>
      </c>
      <c r="C9" s="156" t="s">
        <v>209</v>
      </c>
      <c r="D9" s="157">
        <v>1</v>
      </c>
      <c r="E9" s="172">
        <f>SUM(F10:F89)*0.5%</f>
        <v>356.54398155499985</v>
      </c>
      <c r="F9" s="74">
        <f>D9*E9</f>
        <v>356.54398155499985</v>
      </c>
      <c r="G9" s="75">
        <f>E9*(1+J$5)</f>
        <v>463.5071760214998</v>
      </c>
      <c r="H9" s="74">
        <f>G9*D9</f>
        <v>463.5071760214998</v>
      </c>
      <c r="I9" s="77" t="s">
        <v>188</v>
      </c>
      <c r="J9" s="226" t="s">
        <v>223</v>
      </c>
      <c r="K9" s="72"/>
      <c r="L9" s="25"/>
      <c r="N9" s="12"/>
      <c r="O9" s="12"/>
      <c r="AA9" s="3">
        <v>1334.655</v>
      </c>
      <c r="AB9" s="3">
        <v>33366.375</v>
      </c>
    </row>
    <row r="10" spans="1:15" ht="12.75">
      <c r="A10" s="14" t="s">
        <v>23</v>
      </c>
      <c r="B10" s="159" t="s">
        <v>108</v>
      </c>
      <c r="C10" s="170" t="s">
        <v>27</v>
      </c>
      <c r="D10" s="171">
        <v>4.5</v>
      </c>
      <c r="E10" s="158">
        <v>165.62</v>
      </c>
      <c r="F10" s="74">
        <f>D10*E10</f>
        <v>745.29</v>
      </c>
      <c r="G10" s="75">
        <f>E10*(1+J$5)</f>
        <v>215.306</v>
      </c>
      <c r="H10" s="74">
        <f>G10*D10</f>
        <v>968.8770000000001</v>
      </c>
      <c r="I10" s="77" t="s">
        <v>110</v>
      </c>
      <c r="J10" s="226" t="s">
        <v>109</v>
      </c>
      <c r="K10" s="72"/>
      <c r="L10" s="25"/>
      <c r="N10" s="12"/>
      <c r="O10" s="12"/>
    </row>
    <row r="11" spans="1:15" ht="12.75">
      <c r="A11" s="14" t="s">
        <v>213</v>
      </c>
      <c r="B11" s="218" t="s">
        <v>337</v>
      </c>
      <c r="C11" s="219" t="s">
        <v>15</v>
      </c>
      <c r="D11" s="220">
        <f>levantamento!B55</f>
        <v>25.3</v>
      </c>
      <c r="E11" s="221">
        <v>78.65</v>
      </c>
      <c r="F11" s="74">
        <f>D11*E11</f>
        <v>1989.8450000000003</v>
      </c>
      <c r="G11" s="75">
        <f>E11*(1+J$5)</f>
        <v>102.245</v>
      </c>
      <c r="H11" s="74">
        <f>G11*D11</f>
        <v>2586.7985000000003</v>
      </c>
      <c r="I11" s="77" t="s">
        <v>188</v>
      </c>
      <c r="J11" s="226" t="s">
        <v>336</v>
      </c>
      <c r="K11" s="72"/>
      <c r="L11" s="25"/>
      <c r="N11" s="12"/>
      <c r="O11" s="12"/>
    </row>
    <row r="12" spans="1:15" ht="12.75">
      <c r="A12" s="150" t="s">
        <v>24</v>
      </c>
      <c r="B12" s="160" t="s">
        <v>111</v>
      </c>
      <c r="C12" s="97"/>
      <c r="D12" s="39"/>
      <c r="E12" s="144"/>
      <c r="F12" s="140"/>
      <c r="G12" s="99"/>
      <c r="H12" s="200">
        <f>SUM(H13)</f>
        <v>20025.72</v>
      </c>
      <c r="I12" s="101"/>
      <c r="J12" s="227"/>
      <c r="K12" s="72"/>
      <c r="L12" s="25"/>
      <c r="N12" s="12"/>
      <c r="O12" s="12"/>
    </row>
    <row r="13" spans="1:15" ht="17.25" customHeight="1">
      <c r="A13" s="14" t="s">
        <v>25</v>
      </c>
      <c r="B13" s="15" t="s">
        <v>207</v>
      </c>
      <c r="C13" s="57" t="s">
        <v>208</v>
      </c>
      <c r="D13" s="38">
        <v>660</v>
      </c>
      <c r="E13" s="113">
        <v>23.34</v>
      </c>
      <c r="F13" s="74">
        <f>D13*E13</f>
        <v>15404.4</v>
      </c>
      <c r="G13" s="75">
        <f>E13*(1+J5)</f>
        <v>30.342000000000002</v>
      </c>
      <c r="H13" s="74">
        <f>G13*D13</f>
        <v>20025.72</v>
      </c>
      <c r="I13" s="77" t="s">
        <v>361</v>
      </c>
      <c r="J13" s="226" t="s">
        <v>206</v>
      </c>
      <c r="K13" s="72"/>
      <c r="L13" s="25"/>
      <c r="N13" s="12"/>
      <c r="O13" s="12"/>
    </row>
    <row r="14" spans="1:15" ht="12.75">
      <c r="A14" s="154">
        <v>3</v>
      </c>
      <c r="B14" s="95" t="s">
        <v>18</v>
      </c>
      <c r="C14" s="97"/>
      <c r="D14" s="39"/>
      <c r="E14" s="144"/>
      <c r="F14" s="140"/>
      <c r="G14" s="99"/>
      <c r="H14" s="200">
        <f>SUM(H15:H20)</f>
        <v>1574.44638</v>
      </c>
      <c r="I14" s="101"/>
      <c r="J14" s="227"/>
      <c r="K14" s="72"/>
      <c r="L14" s="25"/>
      <c r="N14" s="12"/>
      <c r="O14" s="12"/>
    </row>
    <row r="15" spans="1:15" ht="25.5">
      <c r="A15" s="14" t="s">
        <v>21</v>
      </c>
      <c r="B15" s="15" t="s">
        <v>84</v>
      </c>
      <c r="C15" s="57" t="s">
        <v>60</v>
      </c>
      <c r="D15" s="38">
        <f>levantamento!E45</f>
        <v>9.1335</v>
      </c>
      <c r="E15" s="141">
        <v>51.38</v>
      </c>
      <c r="F15" s="74">
        <f aca="true" t="shared" si="0" ref="F15:F20">D15*E15</f>
        <v>469.27923</v>
      </c>
      <c r="G15" s="75">
        <f aca="true" t="shared" si="1" ref="G15:G37">E15*(1+J$5)</f>
        <v>66.79400000000001</v>
      </c>
      <c r="H15" s="74">
        <f aca="true" t="shared" si="2" ref="H15:H37">G15*D15</f>
        <v>610.0629990000001</v>
      </c>
      <c r="I15" s="77" t="s">
        <v>188</v>
      </c>
      <c r="J15" s="226" t="s">
        <v>96</v>
      </c>
      <c r="K15" s="72"/>
      <c r="L15" s="25"/>
      <c r="N15" s="12"/>
      <c r="O15" s="12"/>
    </row>
    <row r="16" spans="1:15" ht="12.75">
      <c r="A16" s="14" t="s">
        <v>75</v>
      </c>
      <c r="B16" s="15" t="s">
        <v>112</v>
      </c>
      <c r="C16" s="57" t="s">
        <v>60</v>
      </c>
      <c r="D16" s="38">
        <f>levantamento!E47</f>
        <v>1.21</v>
      </c>
      <c r="E16" s="141">
        <v>36.51</v>
      </c>
      <c r="F16" s="74">
        <f t="shared" si="0"/>
        <v>44.177099999999996</v>
      </c>
      <c r="G16" s="75">
        <f t="shared" si="1"/>
        <v>47.463</v>
      </c>
      <c r="H16" s="74">
        <f t="shared" si="2"/>
        <v>57.43023</v>
      </c>
      <c r="I16" s="77" t="s">
        <v>188</v>
      </c>
      <c r="J16" s="226" t="s">
        <v>97</v>
      </c>
      <c r="K16" s="72"/>
      <c r="L16" s="25"/>
      <c r="N16" s="12"/>
      <c r="O16" s="12"/>
    </row>
    <row r="17" spans="1:15" ht="12.75">
      <c r="A17" s="105" t="s">
        <v>23</v>
      </c>
      <c r="B17" s="15" t="s">
        <v>211</v>
      </c>
      <c r="C17" s="57" t="s">
        <v>27</v>
      </c>
      <c r="D17" s="38">
        <f>levantamento!D11</f>
        <v>21.22</v>
      </c>
      <c r="E17" s="75">
        <v>4.71</v>
      </c>
      <c r="F17" s="74">
        <f t="shared" si="0"/>
        <v>99.94619999999999</v>
      </c>
      <c r="G17" s="75">
        <f t="shared" si="1"/>
        <v>6.123</v>
      </c>
      <c r="H17" s="74">
        <f t="shared" si="2"/>
        <v>129.93006</v>
      </c>
      <c r="I17" s="77" t="s">
        <v>188</v>
      </c>
      <c r="J17" s="226" t="s">
        <v>212</v>
      </c>
      <c r="K17" s="72"/>
      <c r="L17" s="25"/>
      <c r="N17" s="12"/>
      <c r="O17" s="12"/>
    </row>
    <row r="18" spans="1:15" ht="12.75">
      <c r="A18" s="14" t="s">
        <v>213</v>
      </c>
      <c r="B18" s="15" t="s">
        <v>214</v>
      </c>
      <c r="C18" s="22" t="s">
        <v>27</v>
      </c>
      <c r="D18" s="37">
        <f>D17</f>
        <v>21.22</v>
      </c>
      <c r="E18" s="173">
        <v>7.88</v>
      </c>
      <c r="F18" s="74">
        <f t="shared" si="0"/>
        <v>167.21359999999999</v>
      </c>
      <c r="G18" s="75">
        <f t="shared" si="1"/>
        <v>10.244</v>
      </c>
      <c r="H18" s="74">
        <f t="shared" si="2"/>
        <v>217.37767999999997</v>
      </c>
      <c r="I18" s="77" t="s">
        <v>188</v>
      </c>
      <c r="J18" s="226" t="s">
        <v>215</v>
      </c>
      <c r="K18" s="72"/>
      <c r="L18" s="25"/>
      <c r="N18" s="12"/>
      <c r="O18" s="12"/>
    </row>
    <row r="19" spans="1:15" ht="12.75">
      <c r="A19" s="14" t="s">
        <v>147</v>
      </c>
      <c r="B19" s="15" t="s">
        <v>64</v>
      </c>
      <c r="C19" s="57" t="s">
        <v>60</v>
      </c>
      <c r="D19" s="38">
        <f>levantamento!E49</f>
        <v>20.686999999999998</v>
      </c>
      <c r="E19" s="141">
        <v>14.86</v>
      </c>
      <c r="F19" s="74">
        <f t="shared" si="0"/>
        <v>307.40881999999993</v>
      </c>
      <c r="G19" s="75">
        <f t="shared" si="1"/>
        <v>19.318</v>
      </c>
      <c r="H19" s="74">
        <f t="shared" si="2"/>
        <v>399.631466</v>
      </c>
      <c r="I19" s="77" t="s">
        <v>188</v>
      </c>
      <c r="J19" s="226" t="s">
        <v>65</v>
      </c>
      <c r="K19" s="72"/>
      <c r="L19" s="25"/>
      <c r="N19" s="12"/>
      <c r="O19" s="12"/>
    </row>
    <row r="20" spans="1:15" ht="25.5">
      <c r="A20" s="14" t="s">
        <v>148</v>
      </c>
      <c r="B20" s="15" t="s">
        <v>62</v>
      </c>
      <c r="C20" s="57" t="s">
        <v>63</v>
      </c>
      <c r="D20" s="38">
        <f>D19*5</f>
        <v>103.43499999999999</v>
      </c>
      <c r="E20" s="141">
        <v>1.19</v>
      </c>
      <c r="F20" s="74">
        <f t="shared" si="0"/>
        <v>123.08764999999998</v>
      </c>
      <c r="G20" s="75">
        <f t="shared" si="1"/>
        <v>1.547</v>
      </c>
      <c r="H20" s="74">
        <f t="shared" si="2"/>
        <v>160.01394499999998</v>
      </c>
      <c r="I20" s="77" t="s">
        <v>188</v>
      </c>
      <c r="J20" s="226" t="s">
        <v>66</v>
      </c>
      <c r="K20" s="72"/>
      <c r="L20" s="25"/>
      <c r="N20" s="12"/>
      <c r="O20" s="12"/>
    </row>
    <row r="21" spans="1:15" ht="12.75">
      <c r="A21" s="106" t="s">
        <v>283</v>
      </c>
      <c r="B21" s="103" t="s">
        <v>87</v>
      </c>
      <c r="C21" s="97"/>
      <c r="D21" s="39"/>
      <c r="E21" s="98"/>
      <c r="F21" s="140"/>
      <c r="G21" s="99">
        <f t="shared" si="1"/>
        <v>0</v>
      </c>
      <c r="H21" s="200">
        <f>SUM(H22)</f>
        <v>13186.258800000001</v>
      </c>
      <c r="I21" s="101"/>
      <c r="J21" s="228"/>
      <c r="K21" s="72"/>
      <c r="L21" s="25"/>
      <c r="N21" s="12"/>
      <c r="O21" s="12"/>
    </row>
    <row r="22" spans="1:15" ht="25.5">
      <c r="A22" s="105" t="s">
        <v>284</v>
      </c>
      <c r="B22" s="15" t="s">
        <v>354</v>
      </c>
      <c r="C22" s="57" t="s">
        <v>15</v>
      </c>
      <c r="D22" s="38">
        <f>levantamento!B53</f>
        <v>25.3</v>
      </c>
      <c r="E22" s="141">
        <v>400.92</v>
      </c>
      <c r="F22" s="74">
        <f>D22*E22</f>
        <v>10143.276</v>
      </c>
      <c r="G22" s="75">
        <f t="shared" si="1"/>
        <v>521.196</v>
      </c>
      <c r="H22" s="74">
        <f t="shared" si="2"/>
        <v>13186.258800000001</v>
      </c>
      <c r="I22" s="77" t="s">
        <v>188</v>
      </c>
      <c r="J22" s="226" t="s">
        <v>102</v>
      </c>
      <c r="K22" s="72"/>
      <c r="L22" s="25"/>
      <c r="N22" s="12"/>
      <c r="O22" s="12"/>
    </row>
    <row r="23" spans="1:15" ht="12.75">
      <c r="A23" s="106" t="s">
        <v>37</v>
      </c>
      <c r="B23" s="96" t="s">
        <v>19</v>
      </c>
      <c r="C23" s="97"/>
      <c r="D23" s="39"/>
      <c r="E23" s="99"/>
      <c r="F23" s="140"/>
      <c r="G23" s="99">
        <f t="shared" si="1"/>
        <v>0</v>
      </c>
      <c r="H23" s="200">
        <f>SUM(H24:H29)</f>
        <v>18841.929378999997</v>
      </c>
      <c r="I23" s="101"/>
      <c r="J23" s="229"/>
      <c r="K23" s="72"/>
      <c r="L23" s="25"/>
      <c r="N23" s="12"/>
      <c r="O23" s="12"/>
    </row>
    <row r="24" spans="1:15" ht="12.75">
      <c r="A24" s="105" t="s">
        <v>38</v>
      </c>
      <c r="B24" s="15" t="s">
        <v>32</v>
      </c>
      <c r="C24" s="57" t="s">
        <v>27</v>
      </c>
      <c r="D24" s="38">
        <f>levantamento!D6</f>
        <v>89.5382</v>
      </c>
      <c r="E24" s="75">
        <v>74.82</v>
      </c>
      <c r="F24" s="74">
        <f aca="true" t="shared" si="3" ref="F24:F29">D24*E24</f>
        <v>6699.248124</v>
      </c>
      <c r="G24" s="75">
        <f t="shared" si="1"/>
        <v>97.26599999999999</v>
      </c>
      <c r="H24" s="74">
        <f t="shared" si="2"/>
        <v>8709.0225612</v>
      </c>
      <c r="I24" s="77" t="s">
        <v>188</v>
      </c>
      <c r="J24" s="226" t="s">
        <v>31</v>
      </c>
      <c r="K24" s="72"/>
      <c r="L24" s="25"/>
      <c r="N24" s="12"/>
      <c r="O24" s="12"/>
    </row>
    <row r="25" spans="1:15" ht="12.75">
      <c r="A25" s="105" t="s">
        <v>285</v>
      </c>
      <c r="B25" s="15" t="s">
        <v>221</v>
      </c>
      <c r="C25" s="57" t="s">
        <v>197</v>
      </c>
      <c r="D25" s="38">
        <f>levantamento!D10</f>
        <v>13.25</v>
      </c>
      <c r="E25" s="75">
        <v>21.35</v>
      </c>
      <c r="F25" s="74">
        <f t="shared" si="3"/>
        <v>282.88750000000005</v>
      </c>
      <c r="G25" s="75">
        <f t="shared" si="1"/>
        <v>27.755000000000003</v>
      </c>
      <c r="H25" s="74">
        <f t="shared" si="2"/>
        <v>367.75375</v>
      </c>
      <c r="I25" s="77" t="s">
        <v>188</v>
      </c>
      <c r="J25" s="226" t="s">
        <v>220</v>
      </c>
      <c r="K25" s="72"/>
      <c r="L25" s="25"/>
      <c r="N25" s="12"/>
      <c r="O25" s="12"/>
    </row>
    <row r="26" spans="1:15" ht="12.75">
      <c r="A26" s="105" t="s">
        <v>286</v>
      </c>
      <c r="B26" s="15" t="s">
        <v>29</v>
      </c>
      <c r="C26" s="57" t="s">
        <v>27</v>
      </c>
      <c r="D26" s="38">
        <f>levantamento!D6</f>
        <v>89.5382</v>
      </c>
      <c r="E26" s="75">
        <v>41.33</v>
      </c>
      <c r="F26" s="74">
        <f t="shared" si="3"/>
        <v>3700.613806</v>
      </c>
      <c r="G26" s="75">
        <f t="shared" si="1"/>
        <v>53.729</v>
      </c>
      <c r="H26" s="74">
        <f t="shared" si="2"/>
        <v>4810.7979478</v>
      </c>
      <c r="I26" s="77" t="s">
        <v>188</v>
      </c>
      <c r="J26" s="226" t="s">
        <v>30</v>
      </c>
      <c r="K26" s="72"/>
      <c r="L26" s="25"/>
      <c r="N26" s="12"/>
      <c r="O26" s="12"/>
    </row>
    <row r="27" spans="1:15" ht="12.75">
      <c r="A27" s="105" t="s">
        <v>287</v>
      </c>
      <c r="B27" s="15" t="s">
        <v>135</v>
      </c>
      <c r="C27" s="57" t="s">
        <v>15</v>
      </c>
      <c r="D27" s="38">
        <v>13</v>
      </c>
      <c r="E27" s="75">
        <v>14.49</v>
      </c>
      <c r="F27" s="74">
        <f t="shared" si="3"/>
        <v>188.37</v>
      </c>
      <c r="G27" s="75">
        <f t="shared" si="1"/>
        <v>18.837</v>
      </c>
      <c r="H27" s="74">
        <f t="shared" si="2"/>
        <v>244.881</v>
      </c>
      <c r="I27" s="77" t="s">
        <v>188</v>
      </c>
      <c r="J27" s="226" t="s">
        <v>134</v>
      </c>
      <c r="K27" s="72"/>
      <c r="L27" s="25"/>
      <c r="N27" s="12"/>
      <c r="O27" s="12"/>
    </row>
    <row r="28" spans="1:15" ht="12.75">
      <c r="A28" s="105" t="s">
        <v>288</v>
      </c>
      <c r="B28" s="15" t="s">
        <v>34</v>
      </c>
      <c r="C28" s="57" t="s">
        <v>15</v>
      </c>
      <c r="D28" s="38">
        <f>levantamento!D18</f>
        <v>62.309999999999995</v>
      </c>
      <c r="E28" s="75">
        <v>38.17</v>
      </c>
      <c r="F28" s="74">
        <f t="shared" si="3"/>
        <v>2378.3727</v>
      </c>
      <c r="G28" s="75">
        <f t="shared" si="1"/>
        <v>49.621</v>
      </c>
      <c r="H28" s="74">
        <f>G28*D28</f>
        <v>3091.88451</v>
      </c>
      <c r="I28" s="77" t="s">
        <v>188</v>
      </c>
      <c r="J28" s="226" t="s">
        <v>33</v>
      </c>
      <c r="K28" s="72"/>
      <c r="L28" s="25"/>
      <c r="N28" s="12"/>
      <c r="O28" s="12"/>
    </row>
    <row r="29" spans="1:15" ht="12.75">
      <c r="A29" s="105" t="s">
        <v>289</v>
      </c>
      <c r="B29" s="15" t="s">
        <v>41</v>
      </c>
      <c r="C29" s="57" t="s">
        <v>15</v>
      </c>
      <c r="D29" s="38">
        <f>levantamento!D26</f>
        <v>33.73</v>
      </c>
      <c r="E29" s="75">
        <v>36.89</v>
      </c>
      <c r="F29" s="74">
        <f t="shared" si="3"/>
        <v>1244.2996999999998</v>
      </c>
      <c r="G29" s="75">
        <f t="shared" si="1"/>
        <v>47.957</v>
      </c>
      <c r="H29" s="74">
        <f>G29*D29</f>
        <v>1617.5896099999998</v>
      </c>
      <c r="I29" s="77" t="s">
        <v>188</v>
      </c>
      <c r="J29" s="226" t="s">
        <v>35</v>
      </c>
      <c r="K29" s="72"/>
      <c r="L29" s="25"/>
      <c r="N29" s="12"/>
      <c r="O29" s="12"/>
    </row>
    <row r="30" spans="1:15" ht="12.75">
      <c r="A30" s="106" t="s">
        <v>40</v>
      </c>
      <c r="B30" s="103" t="s">
        <v>71</v>
      </c>
      <c r="C30" s="97"/>
      <c r="D30" s="39"/>
      <c r="E30" s="99"/>
      <c r="F30" s="140"/>
      <c r="G30" s="99">
        <f t="shared" si="1"/>
        <v>0</v>
      </c>
      <c r="H30" s="200">
        <f>SUM(H31:H35)</f>
        <v>6203.236000000001</v>
      </c>
      <c r="I30" s="101"/>
      <c r="J30" s="227"/>
      <c r="K30" s="72"/>
      <c r="L30" s="25"/>
      <c r="N30" s="12"/>
      <c r="O30" s="12"/>
    </row>
    <row r="31" spans="1:15" ht="12.75">
      <c r="A31" s="105" t="s">
        <v>39</v>
      </c>
      <c r="B31" s="15" t="s">
        <v>332</v>
      </c>
      <c r="C31" s="57" t="s">
        <v>15</v>
      </c>
      <c r="D31" s="38">
        <v>13</v>
      </c>
      <c r="E31" s="75">
        <v>38.23</v>
      </c>
      <c r="F31" s="74">
        <f>D31*E31</f>
        <v>496.98999999999995</v>
      </c>
      <c r="G31" s="75">
        <f t="shared" si="1"/>
        <v>49.699</v>
      </c>
      <c r="H31" s="74">
        <f t="shared" si="2"/>
        <v>646.087</v>
      </c>
      <c r="I31" s="77" t="s">
        <v>188</v>
      </c>
      <c r="J31" s="226" t="s">
        <v>68</v>
      </c>
      <c r="K31" s="72"/>
      <c r="L31" s="25"/>
      <c r="N31" s="12"/>
      <c r="O31" s="12"/>
    </row>
    <row r="32" spans="1:15" ht="12.75">
      <c r="A32" s="105" t="s">
        <v>76</v>
      </c>
      <c r="B32" s="15" t="s">
        <v>331</v>
      </c>
      <c r="C32" s="57" t="s">
        <v>197</v>
      </c>
      <c r="D32" s="38">
        <v>37</v>
      </c>
      <c r="E32" s="75">
        <v>41.72</v>
      </c>
      <c r="F32" s="74">
        <f>D32*E32</f>
        <v>1543.6399999999999</v>
      </c>
      <c r="G32" s="75">
        <f t="shared" si="1"/>
        <v>54.236</v>
      </c>
      <c r="H32" s="74">
        <f t="shared" si="2"/>
        <v>2006.732</v>
      </c>
      <c r="I32" s="77" t="s">
        <v>188</v>
      </c>
      <c r="J32" s="226" t="s">
        <v>327</v>
      </c>
      <c r="K32" s="72"/>
      <c r="L32" s="25"/>
      <c r="N32" s="12"/>
      <c r="O32" s="12"/>
    </row>
    <row r="33" spans="1:15" ht="12.75">
      <c r="A33" s="105" t="s">
        <v>77</v>
      </c>
      <c r="B33" s="15" t="s">
        <v>330</v>
      </c>
      <c r="C33" s="57" t="s">
        <v>197</v>
      </c>
      <c r="D33" s="38">
        <v>3</v>
      </c>
      <c r="E33" s="75">
        <v>50.73</v>
      </c>
      <c r="F33" s="74">
        <f>D33*E33</f>
        <v>152.19</v>
      </c>
      <c r="G33" s="75">
        <f t="shared" si="1"/>
        <v>65.949</v>
      </c>
      <c r="H33" s="74">
        <f t="shared" si="2"/>
        <v>197.84699999999998</v>
      </c>
      <c r="I33" s="77" t="s">
        <v>188</v>
      </c>
      <c r="J33" s="226" t="s">
        <v>326</v>
      </c>
      <c r="K33" s="72"/>
      <c r="L33" s="25"/>
      <c r="N33" s="12"/>
      <c r="O33" s="12"/>
    </row>
    <row r="34" spans="1:15" ht="12.75">
      <c r="A34" s="105" t="s">
        <v>328</v>
      </c>
      <c r="B34" s="15" t="s">
        <v>72</v>
      </c>
      <c r="C34" s="57" t="s">
        <v>15</v>
      </c>
      <c r="D34" s="38">
        <v>60</v>
      </c>
      <c r="E34" s="75">
        <v>39.27</v>
      </c>
      <c r="F34" s="74">
        <f>D34*E34</f>
        <v>2356.2000000000003</v>
      </c>
      <c r="G34" s="75">
        <f t="shared" si="1"/>
        <v>51.05100000000001</v>
      </c>
      <c r="H34" s="74">
        <f t="shared" si="2"/>
        <v>3063.0600000000004</v>
      </c>
      <c r="I34" s="77" t="s">
        <v>188</v>
      </c>
      <c r="J34" s="226" t="s">
        <v>73</v>
      </c>
      <c r="K34" s="72"/>
      <c r="L34" s="25"/>
      <c r="N34" s="12"/>
      <c r="O34" s="12"/>
    </row>
    <row r="35" spans="1:15" ht="25.5">
      <c r="A35" s="105" t="s">
        <v>329</v>
      </c>
      <c r="B35" s="15" t="s">
        <v>136</v>
      </c>
      <c r="C35" s="112" t="s">
        <v>262</v>
      </c>
      <c r="D35" s="38">
        <v>2</v>
      </c>
      <c r="E35" s="75">
        <v>111.35</v>
      </c>
      <c r="F35" s="74">
        <f>D35*E35</f>
        <v>222.7</v>
      </c>
      <c r="G35" s="75">
        <f t="shared" si="1"/>
        <v>144.755</v>
      </c>
      <c r="H35" s="74">
        <f t="shared" si="2"/>
        <v>289.51</v>
      </c>
      <c r="I35" s="77" t="s">
        <v>188</v>
      </c>
      <c r="J35" s="226" t="s">
        <v>101</v>
      </c>
      <c r="K35" s="72"/>
      <c r="L35" s="25"/>
      <c r="N35" s="12"/>
      <c r="O35" s="12"/>
    </row>
    <row r="36" spans="1:15" ht="12.75">
      <c r="A36" s="106" t="s">
        <v>57</v>
      </c>
      <c r="B36" s="103" t="s">
        <v>82</v>
      </c>
      <c r="C36" s="143"/>
      <c r="D36" s="39"/>
      <c r="E36" s="99"/>
      <c r="F36" s="140"/>
      <c r="G36" s="99">
        <f t="shared" si="1"/>
        <v>0</v>
      </c>
      <c r="H36" s="200">
        <f>SUM(H37)</f>
        <v>3221.7429399999996</v>
      </c>
      <c r="I36" s="101"/>
      <c r="J36" s="227"/>
      <c r="K36" s="72"/>
      <c r="L36" s="25"/>
      <c r="N36" s="12"/>
      <c r="O36" s="12"/>
    </row>
    <row r="37" spans="1:15" ht="12.75">
      <c r="A37" s="105" t="s">
        <v>58</v>
      </c>
      <c r="B37" s="15" t="s">
        <v>83</v>
      </c>
      <c r="C37" s="112" t="s">
        <v>27</v>
      </c>
      <c r="D37" s="38">
        <f>55.31+9.6</f>
        <v>64.91</v>
      </c>
      <c r="E37" s="75">
        <v>38.18</v>
      </c>
      <c r="F37" s="74">
        <f>D37*E37</f>
        <v>2478.2637999999997</v>
      </c>
      <c r="G37" s="75">
        <f t="shared" si="1"/>
        <v>49.634</v>
      </c>
      <c r="H37" s="74">
        <f t="shared" si="2"/>
        <v>3221.7429399999996</v>
      </c>
      <c r="I37" s="77" t="s">
        <v>188</v>
      </c>
      <c r="J37" s="226" t="s">
        <v>103</v>
      </c>
      <c r="K37" s="72"/>
      <c r="L37" s="25"/>
      <c r="N37" s="12"/>
      <c r="O37" s="12"/>
    </row>
    <row r="38" spans="1:15" ht="12.75">
      <c r="A38" s="106" t="s">
        <v>78</v>
      </c>
      <c r="B38" s="103" t="s">
        <v>261</v>
      </c>
      <c r="C38" s="168"/>
      <c r="D38" s="104"/>
      <c r="E38" s="99"/>
      <c r="F38" s="140"/>
      <c r="G38" s="99"/>
      <c r="H38" s="200">
        <f>SUM(H39:H42)</f>
        <v>6677.044530000001</v>
      </c>
      <c r="I38" s="169"/>
      <c r="J38" s="230"/>
      <c r="K38" s="72"/>
      <c r="L38" s="25"/>
      <c r="N38" s="12"/>
      <c r="O38" s="12"/>
    </row>
    <row r="39" spans="1:15" ht="12.75">
      <c r="A39" s="105" t="s">
        <v>79</v>
      </c>
      <c r="B39" s="15" t="s">
        <v>222</v>
      </c>
      <c r="C39" s="112" t="s">
        <v>122</v>
      </c>
      <c r="D39" s="38">
        <f>levantamento!D12</f>
        <v>55.31</v>
      </c>
      <c r="E39" s="75">
        <v>18.16</v>
      </c>
      <c r="F39" s="74">
        <f>D39*E39</f>
        <v>1004.4296</v>
      </c>
      <c r="G39" s="75">
        <f aca="true" t="shared" si="4" ref="G39:G54">E39*(1+J$5)</f>
        <v>23.608</v>
      </c>
      <c r="H39" s="74">
        <f aca="true" t="shared" si="5" ref="H39:H45">G39*D39</f>
        <v>1305.7584800000002</v>
      </c>
      <c r="I39" s="77" t="s">
        <v>188</v>
      </c>
      <c r="J39" s="226" t="s">
        <v>133</v>
      </c>
      <c r="K39" s="72"/>
      <c r="L39" s="25"/>
      <c r="N39" s="12"/>
      <c r="O39" s="12"/>
    </row>
    <row r="40" spans="1:15" ht="25.5">
      <c r="A40" s="105" t="s">
        <v>290</v>
      </c>
      <c r="B40" s="15" t="s">
        <v>132</v>
      </c>
      <c r="C40" s="112" t="s">
        <v>27</v>
      </c>
      <c r="D40" s="38">
        <f>D39</f>
        <v>55.31</v>
      </c>
      <c r="E40" s="75">
        <v>60.76</v>
      </c>
      <c r="F40" s="74">
        <f>D40*E40</f>
        <v>3360.6356</v>
      </c>
      <c r="G40" s="75">
        <f t="shared" si="4"/>
        <v>78.988</v>
      </c>
      <c r="H40" s="74">
        <f t="shared" si="5"/>
        <v>4368.82628</v>
      </c>
      <c r="I40" s="77" t="s">
        <v>188</v>
      </c>
      <c r="J40" s="226" t="s">
        <v>131</v>
      </c>
      <c r="K40" s="72"/>
      <c r="L40" s="25"/>
      <c r="N40" s="12"/>
      <c r="O40" s="12"/>
    </row>
    <row r="41" spans="1:15" ht="12.75">
      <c r="A41" s="105" t="s">
        <v>291</v>
      </c>
      <c r="B41" s="15" t="s">
        <v>259</v>
      </c>
      <c r="C41" s="112" t="s">
        <v>146</v>
      </c>
      <c r="D41" s="38">
        <f>levantamento!B36</f>
        <v>33.52</v>
      </c>
      <c r="E41" s="75">
        <v>17.42</v>
      </c>
      <c r="F41" s="74">
        <f>D41*E41</f>
        <v>583.9184000000001</v>
      </c>
      <c r="G41" s="75">
        <f t="shared" si="4"/>
        <v>22.646000000000004</v>
      </c>
      <c r="H41" s="74">
        <f t="shared" si="5"/>
        <v>759.0939200000003</v>
      </c>
      <c r="I41" s="77" t="s">
        <v>188</v>
      </c>
      <c r="J41" s="226" t="s">
        <v>260</v>
      </c>
      <c r="K41" s="72"/>
      <c r="L41" s="25"/>
      <c r="N41" s="12"/>
      <c r="O41" s="12"/>
    </row>
    <row r="42" spans="1:15" ht="12.75">
      <c r="A42" s="105" t="s">
        <v>325</v>
      </c>
      <c r="B42" s="15" t="s">
        <v>323</v>
      </c>
      <c r="C42" s="112" t="s">
        <v>324</v>
      </c>
      <c r="D42" s="38">
        <f>2*0.25+0.7*0.25</f>
        <v>0.675</v>
      </c>
      <c r="E42" s="75">
        <v>277.34</v>
      </c>
      <c r="F42" s="74">
        <f>D42*E42</f>
        <v>187.2045</v>
      </c>
      <c r="G42" s="75">
        <f t="shared" si="4"/>
        <v>360.542</v>
      </c>
      <c r="H42" s="74">
        <f t="shared" si="5"/>
        <v>243.36585</v>
      </c>
      <c r="I42" s="77" t="s">
        <v>188</v>
      </c>
      <c r="J42" s="226" t="s">
        <v>322</v>
      </c>
      <c r="K42" s="72"/>
      <c r="L42" s="25"/>
      <c r="N42" s="12"/>
      <c r="O42" s="12"/>
    </row>
    <row r="43" spans="1:15" ht="12.75">
      <c r="A43" s="106" t="s">
        <v>80</v>
      </c>
      <c r="B43" s="103" t="s">
        <v>81</v>
      </c>
      <c r="C43" s="143"/>
      <c r="D43" s="39"/>
      <c r="E43" s="99"/>
      <c r="F43" s="140"/>
      <c r="G43" s="99">
        <f t="shared" si="4"/>
        <v>0</v>
      </c>
      <c r="H43" s="200">
        <f>SUM(H44:H45)</f>
        <v>4425.991830000001</v>
      </c>
      <c r="I43" s="101"/>
      <c r="J43" s="227"/>
      <c r="K43" s="72"/>
      <c r="L43" s="25"/>
      <c r="N43" s="12"/>
      <c r="O43" s="12"/>
    </row>
    <row r="44" spans="1:15" ht="25.5">
      <c r="A44" s="105" t="s">
        <v>149</v>
      </c>
      <c r="B44" s="15" t="s">
        <v>210</v>
      </c>
      <c r="C44" s="112" t="s">
        <v>27</v>
      </c>
      <c r="D44" s="38">
        <f>2*1.3</f>
        <v>2.6</v>
      </c>
      <c r="E44" s="75">
        <v>380.61</v>
      </c>
      <c r="F44" s="74">
        <f>D44*E44</f>
        <v>989.586</v>
      </c>
      <c r="G44" s="75">
        <f t="shared" si="4"/>
        <v>494.793</v>
      </c>
      <c r="H44" s="74">
        <f t="shared" si="5"/>
        <v>1286.4618</v>
      </c>
      <c r="I44" s="77" t="s">
        <v>361</v>
      </c>
      <c r="J44" s="226" t="s">
        <v>104</v>
      </c>
      <c r="K44" s="72"/>
      <c r="L44" s="25"/>
      <c r="N44" s="12"/>
      <c r="O44" s="12"/>
    </row>
    <row r="45" spans="1:15" ht="12.75">
      <c r="A45" s="105" t="s">
        <v>150</v>
      </c>
      <c r="B45" s="15" t="s">
        <v>105</v>
      </c>
      <c r="C45" s="112" t="s">
        <v>27</v>
      </c>
      <c r="D45" s="38">
        <f>0.7*2.1+2*2.1</f>
        <v>5.67</v>
      </c>
      <c r="E45" s="75">
        <v>425.93</v>
      </c>
      <c r="F45" s="74">
        <f>D45*E45</f>
        <v>2415.0231</v>
      </c>
      <c r="G45" s="75">
        <f t="shared" si="4"/>
        <v>553.7090000000001</v>
      </c>
      <c r="H45" s="74">
        <f t="shared" si="5"/>
        <v>3139.5300300000004</v>
      </c>
      <c r="I45" s="77" t="s">
        <v>361</v>
      </c>
      <c r="J45" s="226" t="s">
        <v>106</v>
      </c>
      <c r="K45" s="72"/>
      <c r="L45" s="25"/>
      <c r="N45" s="12"/>
      <c r="O45" s="12"/>
    </row>
    <row r="46" spans="1:15" ht="12.75">
      <c r="A46" s="106" t="s">
        <v>151</v>
      </c>
      <c r="B46" s="96" t="s">
        <v>20</v>
      </c>
      <c r="C46" s="97"/>
      <c r="D46" s="39"/>
      <c r="E46" s="98"/>
      <c r="F46" s="140"/>
      <c r="G46" s="99">
        <f t="shared" si="4"/>
        <v>0</v>
      </c>
      <c r="H46" s="200">
        <f>SUM(H47:H54)</f>
        <v>8533.202704000001</v>
      </c>
      <c r="I46" s="101"/>
      <c r="J46" s="229"/>
      <c r="K46" s="72"/>
      <c r="L46" s="25"/>
      <c r="N46" s="12"/>
      <c r="O46" s="12"/>
    </row>
    <row r="47" spans="1:15" ht="12.75">
      <c r="A47" s="105" t="s">
        <v>152</v>
      </c>
      <c r="B47" s="15" t="s">
        <v>156</v>
      </c>
      <c r="C47" s="112" t="s">
        <v>122</v>
      </c>
      <c r="D47" s="38">
        <f>levantamento!D30+levantamento!D37</f>
        <v>271.788</v>
      </c>
      <c r="E47" s="75">
        <v>3.56</v>
      </c>
      <c r="F47" s="74">
        <f aca="true" t="shared" si="6" ref="F47:F54">D47*E47</f>
        <v>967.56528</v>
      </c>
      <c r="G47" s="75">
        <f t="shared" si="4"/>
        <v>4.628</v>
      </c>
      <c r="H47" s="74">
        <f aca="true" t="shared" si="7" ref="H47:H54">G47*D47</f>
        <v>1257.8348640000002</v>
      </c>
      <c r="I47" s="77" t="s">
        <v>188</v>
      </c>
      <c r="J47" s="226" t="s">
        <v>141</v>
      </c>
      <c r="K47" s="72"/>
      <c r="L47" s="25"/>
      <c r="N47" s="12"/>
      <c r="O47" s="12"/>
    </row>
    <row r="48" spans="1:15" ht="12.75">
      <c r="A48" s="105" t="s">
        <v>153</v>
      </c>
      <c r="B48" s="15" t="s">
        <v>157</v>
      </c>
      <c r="C48" s="112" t="s">
        <v>122</v>
      </c>
      <c r="D48" s="38">
        <f>levantamento!D40</f>
        <v>55.31</v>
      </c>
      <c r="E48" s="75">
        <v>3.56</v>
      </c>
      <c r="F48" s="74">
        <f t="shared" si="6"/>
        <v>196.9036</v>
      </c>
      <c r="G48" s="75">
        <f t="shared" si="4"/>
        <v>4.628</v>
      </c>
      <c r="H48" s="74">
        <f t="shared" si="7"/>
        <v>255.97468</v>
      </c>
      <c r="I48" s="77" t="s">
        <v>188</v>
      </c>
      <c r="J48" s="226" t="s">
        <v>142</v>
      </c>
      <c r="K48" s="72"/>
      <c r="L48" s="25"/>
      <c r="N48" s="12"/>
      <c r="O48" s="12"/>
    </row>
    <row r="49" spans="1:15" ht="12.75">
      <c r="A49" s="105" t="s">
        <v>292</v>
      </c>
      <c r="B49" s="15" t="s">
        <v>180</v>
      </c>
      <c r="C49" s="57" t="s">
        <v>27</v>
      </c>
      <c r="D49" s="38">
        <f>levantamento!D36</f>
        <v>97.20800000000001</v>
      </c>
      <c r="E49" s="75">
        <v>10.96</v>
      </c>
      <c r="F49" s="74">
        <f t="shared" si="6"/>
        <v>1065.3996800000002</v>
      </c>
      <c r="G49" s="75">
        <f t="shared" si="4"/>
        <v>14.248000000000001</v>
      </c>
      <c r="H49" s="74">
        <f t="shared" si="7"/>
        <v>1385.0195840000003</v>
      </c>
      <c r="I49" s="77" t="s">
        <v>188</v>
      </c>
      <c r="J49" s="226" t="s">
        <v>99</v>
      </c>
      <c r="K49" s="72"/>
      <c r="L49" s="25"/>
      <c r="N49" s="12"/>
      <c r="O49" s="12"/>
    </row>
    <row r="50" spans="1:15" ht="12.75">
      <c r="A50" s="105" t="s">
        <v>293</v>
      </c>
      <c r="B50" s="15" t="s">
        <v>181</v>
      </c>
      <c r="C50" s="57" t="s">
        <v>27</v>
      </c>
      <c r="D50" s="38">
        <f>levantamento!D39</f>
        <v>55.31</v>
      </c>
      <c r="E50" s="75">
        <v>10.96</v>
      </c>
      <c r="F50" s="74">
        <f t="shared" si="6"/>
        <v>606.1976000000001</v>
      </c>
      <c r="G50" s="75">
        <f t="shared" si="4"/>
        <v>14.248000000000001</v>
      </c>
      <c r="H50" s="74">
        <f t="shared" si="7"/>
        <v>788.0568800000001</v>
      </c>
      <c r="I50" s="77" t="s">
        <v>188</v>
      </c>
      <c r="J50" s="226" t="s">
        <v>100</v>
      </c>
      <c r="K50" s="72"/>
      <c r="L50" s="25"/>
      <c r="N50" s="12"/>
      <c r="O50" s="12"/>
    </row>
    <row r="51" spans="1:15" ht="12.75">
      <c r="A51" s="105" t="s">
        <v>294</v>
      </c>
      <c r="B51" s="15" t="s">
        <v>272</v>
      </c>
      <c r="C51" s="57" t="s">
        <v>27</v>
      </c>
      <c r="D51" s="38">
        <f>levantamento!D30</f>
        <v>174.57999999999998</v>
      </c>
      <c r="E51" s="75">
        <v>9.94</v>
      </c>
      <c r="F51" s="74">
        <f t="shared" si="6"/>
        <v>1735.3251999999998</v>
      </c>
      <c r="G51" s="75">
        <f t="shared" si="4"/>
        <v>12.922</v>
      </c>
      <c r="H51" s="74">
        <f t="shared" si="7"/>
        <v>2255.92276</v>
      </c>
      <c r="I51" s="77" t="s">
        <v>188</v>
      </c>
      <c r="J51" s="226" t="s">
        <v>26</v>
      </c>
      <c r="K51" s="72"/>
      <c r="L51" s="25"/>
      <c r="N51" s="12"/>
      <c r="O51" s="12"/>
    </row>
    <row r="52" spans="1:15" ht="12.75">
      <c r="A52" s="105" t="s">
        <v>295</v>
      </c>
      <c r="B52" s="15" t="s">
        <v>273</v>
      </c>
      <c r="C52" s="57" t="s">
        <v>27</v>
      </c>
      <c r="D52" s="38">
        <f>levantamento!D37</f>
        <v>97.20800000000001</v>
      </c>
      <c r="E52" s="75">
        <f>E51</f>
        <v>9.94</v>
      </c>
      <c r="F52" s="74">
        <f t="shared" si="6"/>
        <v>966.2475200000001</v>
      </c>
      <c r="G52" s="75">
        <f t="shared" si="4"/>
        <v>12.922</v>
      </c>
      <c r="H52" s="74">
        <f t="shared" si="7"/>
        <v>1256.1217760000002</v>
      </c>
      <c r="I52" s="77" t="s">
        <v>188</v>
      </c>
      <c r="J52" s="226" t="s">
        <v>74</v>
      </c>
      <c r="K52" s="72"/>
      <c r="L52" s="25"/>
      <c r="N52" s="12"/>
      <c r="O52" s="12"/>
    </row>
    <row r="53" spans="1:15" ht="12.75">
      <c r="A53" s="105" t="s">
        <v>296</v>
      </c>
      <c r="B53" s="15" t="s">
        <v>274</v>
      </c>
      <c r="C53" s="16" t="s">
        <v>27</v>
      </c>
      <c r="D53" s="38">
        <f>levantamento!D40</f>
        <v>55.31</v>
      </c>
      <c r="E53" s="75">
        <v>9.94</v>
      </c>
      <c r="F53" s="74">
        <f t="shared" si="6"/>
        <v>549.7814</v>
      </c>
      <c r="G53" s="75">
        <f t="shared" si="4"/>
        <v>12.922</v>
      </c>
      <c r="H53" s="74">
        <f t="shared" si="7"/>
        <v>714.71582</v>
      </c>
      <c r="I53" s="77" t="s">
        <v>188</v>
      </c>
      <c r="J53" s="226" t="s">
        <v>28</v>
      </c>
      <c r="K53" s="72"/>
      <c r="L53" s="25"/>
      <c r="N53" s="12"/>
      <c r="O53" s="12"/>
    </row>
    <row r="54" spans="1:15" ht="15.75" customHeight="1">
      <c r="A54" s="105" t="s">
        <v>357</v>
      </c>
      <c r="B54" s="307" t="s">
        <v>356</v>
      </c>
      <c r="C54" s="16" t="s">
        <v>122</v>
      </c>
      <c r="D54" s="38">
        <f>levantamento!D34</f>
        <v>34.46</v>
      </c>
      <c r="E54" s="75">
        <v>13.83</v>
      </c>
      <c r="F54" s="74">
        <f t="shared" si="6"/>
        <v>476.5818</v>
      </c>
      <c r="G54" s="75">
        <f t="shared" si="4"/>
        <v>17.979</v>
      </c>
      <c r="H54" s="74">
        <f t="shared" si="7"/>
        <v>619.55634</v>
      </c>
      <c r="I54" s="77" t="s">
        <v>188</v>
      </c>
      <c r="J54" s="226" t="s">
        <v>355</v>
      </c>
      <c r="K54" s="72"/>
      <c r="L54" s="25"/>
      <c r="N54" s="12"/>
      <c r="O54" s="12"/>
    </row>
    <row r="55" spans="1:15" ht="12.75">
      <c r="A55" s="150" t="s">
        <v>154</v>
      </c>
      <c r="B55" s="96" t="s">
        <v>113</v>
      </c>
      <c r="C55" s="166"/>
      <c r="D55" s="167"/>
      <c r="E55" s="98"/>
      <c r="F55" s="140"/>
      <c r="G55" s="100"/>
      <c r="H55" s="201">
        <f>SUM(H56:H65)</f>
        <v>1122.589</v>
      </c>
      <c r="I55" s="101"/>
      <c r="J55" s="227"/>
      <c r="K55" s="72"/>
      <c r="L55" s="25"/>
      <c r="N55" s="12"/>
      <c r="O55" s="12"/>
    </row>
    <row r="56" spans="1:15" ht="12.75">
      <c r="A56" s="14" t="s">
        <v>155</v>
      </c>
      <c r="B56" s="15" t="s">
        <v>118</v>
      </c>
      <c r="C56" s="161" t="s">
        <v>15</v>
      </c>
      <c r="D56" s="162">
        <v>20</v>
      </c>
      <c r="E56" s="37">
        <v>10.96</v>
      </c>
      <c r="F56" s="74">
        <f aca="true" t="shared" si="8" ref="F56:F64">E56*D56</f>
        <v>219.20000000000002</v>
      </c>
      <c r="G56" s="76">
        <f aca="true" t="shared" si="9" ref="G56:G65">E56*(1+J$5)</f>
        <v>14.248000000000001</v>
      </c>
      <c r="H56" s="75">
        <f aca="true" t="shared" si="10" ref="H56:H65">G56*D56</f>
        <v>284.96000000000004</v>
      </c>
      <c r="I56" s="77" t="s">
        <v>188</v>
      </c>
      <c r="J56" s="231" t="s">
        <v>129</v>
      </c>
      <c r="K56" s="72"/>
      <c r="L56" s="25"/>
      <c r="N56" s="12"/>
      <c r="O56" s="12"/>
    </row>
    <row r="57" spans="1:15" ht="12.75">
      <c r="A57" s="14" t="s">
        <v>182</v>
      </c>
      <c r="B57" s="164" t="s">
        <v>119</v>
      </c>
      <c r="C57" s="16" t="s">
        <v>15</v>
      </c>
      <c r="D57" s="163">
        <v>5</v>
      </c>
      <c r="E57" s="37">
        <v>8.87</v>
      </c>
      <c r="F57" s="74">
        <f t="shared" si="8"/>
        <v>44.349999999999994</v>
      </c>
      <c r="G57" s="76">
        <f t="shared" si="9"/>
        <v>11.530999999999999</v>
      </c>
      <c r="H57" s="75">
        <f t="shared" si="10"/>
        <v>57.654999999999994</v>
      </c>
      <c r="I57" s="77" t="s">
        <v>188</v>
      </c>
      <c r="J57" s="231" t="s">
        <v>130</v>
      </c>
      <c r="K57" s="72"/>
      <c r="L57" s="25"/>
      <c r="N57" s="12"/>
      <c r="O57" s="12"/>
    </row>
    <row r="58" spans="1:15" ht="12.75">
      <c r="A58" s="14" t="s">
        <v>183</v>
      </c>
      <c r="B58" s="164" t="s">
        <v>320</v>
      </c>
      <c r="C58" s="16" t="s">
        <v>282</v>
      </c>
      <c r="D58" s="163">
        <v>5</v>
      </c>
      <c r="E58" s="38">
        <v>22.93</v>
      </c>
      <c r="F58" s="74">
        <f t="shared" si="8"/>
        <v>114.65</v>
      </c>
      <c r="G58" s="76">
        <f t="shared" si="9"/>
        <v>29.809</v>
      </c>
      <c r="H58" s="75">
        <f>G58*D58</f>
        <v>149.04500000000002</v>
      </c>
      <c r="I58" s="77" t="s">
        <v>188</v>
      </c>
      <c r="J58" s="231" t="s">
        <v>281</v>
      </c>
      <c r="K58" s="72"/>
      <c r="L58" s="25"/>
      <c r="N58" s="12"/>
      <c r="O58" s="12"/>
    </row>
    <row r="59" spans="1:15" ht="12.75">
      <c r="A59" s="14" t="s">
        <v>184</v>
      </c>
      <c r="B59" s="164" t="s">
        <v>321</v>
      </c>
      <c r="C59" s="16" t="s">
        <v>15</v>
      </c>
      <c r="D59" s="163">
        <v>5</v>
      </c>
      <c r="E59" s="38">
        <v>11.97</v>
      </c>
      <c r="F59" s="74">
        <f t="shared" si="8"/>
        <v>59.85</v>
      </c>
      <c r="G59" s="76">
        <f t="shared" si="9"/>
        <v>15.561000000000002</v>
      </c>
      <c r="H59" s="75">
        <f>G59*D59</f>
        <v>77.805</v>
      </c>
      <c r="I59" s="77" t="s">
        <v>188</v>
      </c>
      <c r="J59" s="231" t="s">
        <v>318</v>
      </c>
      <c r="K59" s="72"/>
      <c r="L59" s="25"/>
      <c r="N59" s="12"/>
      <c r="O59" s="12"/>
    </row>
    <row r="60" spans="1:15" ht="12.75">
      <c r="A60" s="14" t="s">
        <v>185</v>
      </c>
      <c r="B60" s="15" t="s">
        <v>117</v>
      </c>
      <c r="C60" s="161" t="s">
        <v>3</v>
      </c>
      <c r="D60" s="162">
        <v>1</v>
      </c>
      <c r="E60" s="141">
        <v>56.78</v>
      </c>
      <c r="F60" s="74">
        <f t="shared" si="8"/>
        <v>56.78</v>
      </c>
      <c r="G60" s="76">
        <f t="shared" si="9"/>
        <v>73.81400000000001</v>
      </c>
      <c r="H60" s="75">
        <f t="shared" si="10"/>
        <v>73.81400000000001</v>
      </c>
      <c r="I60" s="77" t="s">
        <v>188</v>
      </c>
      <c r="J60" s="226" t="s">
        <v>128</v>
      </c>
      <c r="K60" s="72"/>
      <c r="L60" s="25"/>
      <c r="N60" s="12"/>
      <c r="O60" s="12"/>
    </row>
    <row r="61" spans="1:15" ht="25.5">
      <c r="A61" s="14" t="s">
        <v>186</v>
      </c>
      <c r="B61" s="15" t="s">
        <v>116</v>
      </c>
      <c r="C61" s="161" t="s">
        <v>3</v>
      </c>
      <c r="D61" s="162">
        <v>2</v>
      </c>
      <c r="E61" s="141">
        <v>77.02</v>
      </c>
      <c r="F61" s="74">
        <f t="shared" si="8"/>
        <v>154.04</v>
      </c>
      <c r="G61" s="76">
        <f t="shared" si="9"/>
        <v>100.126</v>
      </c>
      <c r="H61" s="75">
        <f t="shared" si="10"/>
        <v>200.252</v>
      </c>
      <c r="I61" s="77" t="s">
        <v>188</v>
      </c>
      <c r="J61" s="226" t="s">
        <v>126</v>
      </c>
      <c r="K61" s="72"/>
      <c r="L61" s="25"/>
      <c r="N61" s="12"/>
      <c r="O61" s="12"/>
    </row>
    <row r="62" spans="1:15" ht="12.75">
      <c r="A62" s="14" t="s">
        <v>187</v>
      </c>
      <c r="B62" s="15" t="s">
        <v>280</v>
      </c>
      <c r="C62" s="161" t="s">
        <v>3</v>
      </c>
      <c r="D62" s="162">
        <v>1</v>
      </c>
      <c r="E62" s="141">
        <v>19.49</v>
      </c>
      <c r="F62" s="74">
        <f t="shared" si="8"/>
        <v>19.49</v>
      </c>
      <c r="G62" s="76">
        <f t="shared" si="9"/>
        <v>25.337</v>
      </c>
      <c r="H62" s="75">
        <f t="shared" si="10"/>
        <v>25.337</v>
      </c>
      <c r="I62" s="77" t="s">
        <v>188</v>
      </c>
      <c r="J62" s="226" t="s">
        <v>127</v>
      </c>
      <c r="K62" s="72"/>
      <c r="L62" s="25"/>
      <c r="N62" s="12"/>
      <c r="O62" s="12"/>
    </row>
    <row r="63" spans="1:15" ht="12.75">
      <c r="A63" s="14" t="s">
        <v>297</v>
      </c>
      <c r="B63" s="15" t="s">
        <v>279</v>
      </c>
      <c r="C63" s="161" t="s">
        <v>3</v>
      </c>
      <c r="D63" s="162">
        <v>1</v>
      </c>
      <c r="E63" s="141">
        <v>38.88</v>
      </c>
      <c r="F63" s="74">
        <f t="shared" si="8"/>
        <v>38.88</v>
      </c>
      <c r="G63" s="76">
        <f t="shared" si="9"/>
        <v>50.544000000000004</v>
      </c>
      <c r="H63" s="75">
        <f t="shared" si="10"/>
        <v>50.544000000000004</v>
      </c>
      <c r="I63" s="77" t="s">
        <v>188</v>
      </c>
      <c r="J63" s="226" t="s">
        <v>278</v>
      </c>
      <c r="K63" s="72"/>
      <c r="L63" s="25"/>
      <c r="N63" s="12"/>
      <c r="O63" s="12"/>
    </row>
    <row r="64" spans="1:15" ht="12.75">
      <c r="A64" s="14" t="s">
        <v>298</v>
      </c>
      <c r="B64" s="15" t="s">
        <v>115</v>
      </c>
      <c r="C64" s="16" t="s">
        <v>3</v>
      </c>
      <c r="D64" s="163">
        <v>1</v>
      </c>
      <c r="E64" s="141">
        <v>138.4</v>
      </c>
      <c r="F64" s="74">
        <f t="shared" si="8"/>
        <v>138.4</v>
      </c>
      <c r="G64" s="76">
        <f t="shared" si="9"/>
        <v>179.92000000000002</v>
      </c>
      <c r="H64" s="75">
        <f t="shared" si="10"/>
        <v>179.92000000000002</v>
      </c>
      <c r="I64" s="77" t="s">
        <v>188</v>
      </c>
      <c r="J64" s="226" t="s">
        <v>124</v>
      </c>
      <c r="K64" s="72"/>
      <c r="L64" s="25"/>
      <c r="N64" s="12"/>
      <c r="O64" s="12"/>
    </row>
    <row r="65" spans="1:15" ht="12.75">
      <c r="A65" s="14" t="s">
        <v>319</v>
      </c>
      <c r="B65" s="164" t="s">
        <v>160</v>
      </c>
      <c r="C65" s="161" t="s">
        <v>3</v>
      </c>
      <c r="D65" s="165">
        <v>1</v>
      </c>
      <c r="E65" s="37">
        <v>17.89</v>
      </c>
      <c r="F65" s="74">
        <f>D65*E65</f>
        <v>17.89</v>
      </c>
      <c r="G65" s="37">
        <f t="shared" si="9"/>
        <v>23.257</v>
      </c>
      <c r="H65" s="37">
        <f t="shared" si="10"/>
        <v>23.257</v>
      </c>
      <c r="I65" s="77" t="s">
        <v>188</v>
      </c>
      <c r="J65" s="231" t="s">
        <v>125</v>
      </c>
      <c r="K65" s="72"/>
      <c r="L65" s="25"/>
      <c r="N65" s="12"/>
      <c r="O65" s="12"/>
    </row>
    <row r="66" spans="1:15" ht="12.75">
      <c r="A66" s="150" t="s">
        <v>299</v>
      </c>
      <c r="B66" s="96" t="s">
        <v>137</v>
      </c>
      <c r="C66" s="166"/>
      <c r="D66" s="167"/>
      <c r="E66" s="98"/>
      <c r="F66" s="140"/>
      <c r="G66" s="151"/>
      <c r="H66" s="202">
        <f>SUM(H67:H81)</f>
        <v>3249.2914999999994</v>
      </c>
      <c r="I66" s="101"/>
      <c r="J66" s="228"/>
      <c r="K66" s="72"/>
      <c r="L66" s="25"/>
      <c r="N66" s="12"/>
      <c r="O66" s="12"/>
    </row>
    <row r="67" spans="1:15" ht="12.75">
      <c r="A67" s="14" t="s">
        <v>300</v>
      </c>
      <c r="B67" s="164" t="s">
        <v>196</v>
      </c>
      <c r="C67" s="16" t="s">
        <v>197</v>
      </c>
      <c r="D67" s="165">
        <v>20</v>
      </c>
      <c r="E67" s="38">
        <v>11.29</v>
      </c>
      <c r="F67" s="74">
        <f aca="true" t="shared" si="11" ref="F67:F77">D67*E67</f>
        <v>225.79999999999998</v>
      </c>
      <c r="G67" s="37">
        <f aca="true" t="shared" si="12" ref="G67:G81">E67*(1+J$5)</f>
        <v>14.677</v>
      </c>
      <c r="H67" s="37">
        <f aca="true" t="shared" si="13" ref="H67:H77">G67*D67</f>
        <v>293.53999999999996</v>
      </c>
      <c r="I67" s="77" t="s">
        <v>188</v>
      </c>
      <c r="J67" s="231" t="s">
        <v>195</v>
      </c>
      <c r="K67" s="72"/>
      <c r="L67" s="25"/>
      <c r="N67" s="12"/>
      <c r="O67" s="12"/>
    </row>
    <row r="68" spans="1:15" ht="12.75">
      <c r="A68" s="14" t="s">
        <v>301</v>
      </c>
      <c r="B68" s="164" t="s">
        <v>226</v>
      </c>
      <c r="C68" s="16" t="s">
        <v>197</v>
      </c>
      <c r="D68" s="165">
        <v>20</v>
      </c>
      <c r="E68" s="38">
        <v>11.97</v>
      </c>
      <c r="F68" s="74">
        <f t="shared" si="11"/>
        <v>239.4</v>
      </c>
      <c r="G68" s="37">
        <f t="shared" si="12"/>
        <v>15.561000000000002</v>
      </c>
      <c r="H68" s="37">
        <f t="shared" si="13"/>
        <v>311.22</v>
      </c>
      <c r="I68" s="77" t="s">
        <v>188</v>
      </c>
      <c r="J68" s="231" t="s">
        <v>225</v>
      </c>
      <c r="K68" s="72"/>
      <c r="L68" s="25"/>
      <c r="N68" s="12"/>
      <c r="O68" s="12"/>
    </row>
    <row r="69" spans="1:15" ht="12.75">
      <c r="A69" s="14" t="s">
        <v>302</v>
      </c>
      <c r="B69" s="164" t="s">
        <v>171</v>
      </c>
      <c r="C69" s="16" t="s">
        <v>164</v>
      </c>
      <c r="D69" s="165">
        <v>1</v>
      </c>
      <c r="E69" s="38">
        <v>81.05</v>
      </c>
      <c r="F69" s="74">
        <f>D69*E69</f>
        <v>81.05</v>
      </c>
      <c r="G69" s="37">
        <f t="shared" si="12"/>
        <v>105.365</v>
      </c>
      <c r="H69" s="37">
        <f>G69*D69</f>
        <v>105.365</v>
      </c>
      <c r="I69" s="77" t="s">
        <v>188</v>
      </c>
      <c r="J69" s="231" t="s">
        <v>170</v>
      </c>
      <c r="K69" s="72"/>
      <c r="L69" s="25"/>
      <c r="N69" s="12"/>
      <c r="O69" s="12"/>
    </row>
    <row r="70" spans="1:15" ht="12.75">
      <c r="A70" s="14" t="s">
        <v>303</v>
      </c>
      <c r="B70" s="164" t="s">
        <v>175</v>
      </c>
      <c r="C70" s="16" t="s">
        <v>164</v>
      </c>
      <c r="D70" s="165">
        <v>1</v>
      </c>
      <c r="E70" s="38">
        <v>36.68</v>
      </c>
      <c r="F70" s="74">
        <f>D70*E70</f>
        <v>36.68</v>
      </c>
      <c r="G70" s="37">
        <f t="shared" si="12"/>
        <v>47.684000000000005</v>
      </c>
      <c r="H70" s="37">
        <f>G70*D70</f>
        <v>47.684000000000005</v>
      </c>
      <c r="I70" s="77" t="s">
        <v>188</v>
      </c>
      <c r="J70" s="231" t="s">
        <v>172</v>
      </c>
      <c r="K70" s="72"/>
      <c r="L70" s="25"/>
      <c r="N70" s="12"/>
      <c r="O70" s="12"/>
    </row>
    <row r="71" spans="1:15" ht="12.75">
      <c r="A71" s="14" t="s">
        <v>304</v>
      </c>
      <c r="B71" s="164" t="s">
        <v>174</v>
      </c>
      <c r="C71" s="16" t="s">
        <v>164</v>
      </c>
      <c r="D71" s="165">
        <v>4</v>
      </c>
      <c r="E71" s="38">
        <v>12.67</v>
      </c>
      <c r="F71" s="74">
        <f>D71*E71</f>
        <v>50.68</v>
      </c>
      <c r="G71" s="37">
        <f t="shared" si="12"/>
        <v>16.471</v>
      </c>
      <c r="H71" s="37">
        <f>G71*D71</f>
        <v>65.884</v>
      </c>
      <c r="I71" s="77" t="s">
        <v>188</v>
      </c>
      <c r="J71" s="231" t="s">
        <v>173</v>
      </c>
      <c r="K71" s="72"/>
      <c r="L71" s="25"/>
      <c r="N71" s="12"/>
      <c r="O71" s="12"/>
    </row>
    <row r="72" spans="1:15" ht="12.75">
      <c r="A72" s="14" t="s">
        <v>305</v>
      </c>
      <c r="B72" s="164" t="s">
        <v>176</v>
      </c>
      <c r="C72" s="16" t="s">
        <v>164</v>
      </c>
      <c r="D72" s="165">
        <v>2</v>
      </c>
      <c r="E72" s="38">
        <f>'Composição de Custos'!F11</f>
        <v>87.5675</v>
      </c>
      <c r="F72" s="74">
        <f>D72*E72</f>
        <v>175.135</v>
      </c>
      <c r="G72" s="37">
        <f t="shared" si="12"/>
        <v>113.83775</v>
      </c>
      <c r="H72" s="37">
        <f>G72*D72</f>
        <v>227.6755</v>
      </c>
      <c r="I72" s="185" t="s">
        <v>248</v>
      </c>
      <c r="J72" s="232" t="s">
        <v>353</v>
      </c>
      <c r="K72" s="72"/>
      <c r="L72" s="25"/>
      <c r="N72" s="12"/>
      <c r="O72" s="12"/>
    </row>
    <row r="73" spans="1:15" ht="12.75">
      <c r="A73" s="14" t="s">
        <v>306</v>
      </c>
      <c r="B73" s="164" t="s">
        <v>177</v>
      </c>
      <c r="C73" s="16" t="s">
        <v>164</v>
      </c>
      <c r="D73" s="165">
        <v>3</v>
      </c>
      <c r="E73" s="38">
        <f>'Composição de Custos'!F22</f>
        <v>51.21333333333334</v>
      </c>
      <c r="F73" s="74">
        <f>D73*E73</f>
        <v>153.64000000000001</v>
      </c>
      <c r="G73" s="37">
        <f t="shared" si="12"/>
        <v>66.57733333333334</v>
      </c>
      <c r="H73" s="37">
        <f>G73*D73</f>
        <v>199.73200000000003</v>
      </c>
      <c r="I73" s="185" t="s">
        <v>248</v>
      </c>
      <c r="J73" s="232" t="s">
        <v>353</v>
      </c>
      <c r="K73" s="72"/>
      <c r="L73" s="25"/>
      <c r="N73" s="12"/>
      <c r="O73" s="12"/>
    </row>
    <row r="74" spans="1:15" ht="12.75">
      <c r="A74" s="14" t="s">
        <v>307</v>
      </c>
      <c r="B74" s="164" t="s">
        <v>166</v>
      </c>
      <c r="C74" s="16" t="s">
        <v>15</v>
      </c>
      <c r="D74" s="165">
        <v>100</v>
      </c>
      <c r="E74" s="38">
        <v>2.59</v>
      </c>
      <c r="F74" s="74">
        <f t="shared" si="11"/>
        <v>259</v>
      </c>
      <c r="G74" s="37">
        <f t="shared" si="12"/>
        <v>3.367</v>
      </c>
      <c r="H74" s="37">
        <f t="shared" si="13"/>
        <v>336.7</v>
      </c>
      <c r="I74" s="77" t="s">
        <v>188</v>
      </c>
      <c r="J74" s="231" t="s">
        <v>165</v>
      </c>
      <c r="K74" s="72"/>
      <c r="L74" s="25"/>
      <c r="N74" s="12"/>
      <c r="O74" s="12"/>
    </row>
    <row r="75" spans="1:15" ht="12.75">
      <c r="A75" s="14" t="s">
        <v>308</v>
      </c>
      <c r="B75" s="164" t="s">
        <v>168</v>
      </c>
      <c r="C75" s="16" t="s">
        <v>15</v>
      </c>
      <c r="D75" s="165">
        <v>100</v>
      </c>
      <c r="E75" s="38">
        <v>7.28</v>
      </c>
      <c r="F75" s="74">
        <f>D75*E75</f>
        <v>728</v>
      </c>
      <c r="G75" s="37">
        <f t="shared" si="12"/>
        <v>9.464</v>
      </c>
      <c r="H75" s="37">
        <f>G75*D75</f>
        <v>946.4000000000001</v>
      </c>
      <c r="I75" s="77" t="s">
        <v>188</v>
      </c>
      <c r="J75" s="231" t="s">
        <v>167</v>
      </c>
      <c r="K75" s="72"/>
      <c r="L75" s="25"/>
      <c r="N75" s="12"/>
      <c r="O75" s="12"/>
    </row>
    <row r="76" spans="1:15" ht="12.75">
      <c r="A76" s="14" t="s">
        <v>309</v>
      </c>
      <c r="B76" s="164" t="s">
        <v>250</v>
      </c>
      <c r="C76" s="16" t="s">
        <v>193</v>
      </c>
      <c r="D76" s="165">
        <v>5</v>
      </c>
      <c r="E76" s="38">
        <v>20.63</v>
      </c>
      <c r="F76" s="74">
        <f t="shared" si="11"/>
        <v>103.14999999999999</v>
      </c>
      <c r="G76" s="37">
        <f t="shared" si="12"/>
        <v>26.819</v>
      </c>
      <c r="H76" s="37">
        <f t="shared" si="13"/>
        <v>134.095</v>
      </c>
      <c r="I76" s="77" t="s">
        <v>188</v>
      </c>
      <c r="J76" s="231" t="s">
        <v>192</v>
      </c>
      <c r="K76" s="72"/>
      <c r="L76" s="25"/>
      <c r="N76" s="12"/>
      <c r="O76" s="12"/>
    </row>
    <row r="77" spans="1:15" ht="12.75">
      <c r="A77" s="14" t="s">
        <v>310</v>
      </c>
      <c r="B77" s="164" t="s">
        <v>249</v>
      </c>
      <c r="C77" s="16" t="s">
        <v>193</v>
      </c>
      <c r="D77" s="165">
        <v>1</v>
      </c>
      <c r="E77" s="38">
        <v>13.09</v>
      </c>
      <c r="F77" s="74">
        <f t="shared" si="11"/>
        <v>13.09</v>
      </c>
      <c r="G77" s="37">
        <f t="shared" si="12"/>
        <v>17.017</v>
      </c>
      <c r="H77" s="37">
        <f t="shared" si="13"/>
        <v>17.017</v>
      </c>
      <c r="I77" s="77" t="s">
        <v>188</v>
      </c>
      <c r="J77" s="231" t="s">
        <v>194</v>
      </c>
      <c r="K77" s="72"/>
      <c r="L77" s="25"/>
      <c r="N77" s="12"/>
      <c r="O77" s="12"/>
    </row>
    <row r="78" spans="1:15" ht="12.75">
      <c r="A78" s="14" t="s">
        <v>311</v>
      </c>
      <c r="B78" s="164" t="s">
        <v>269</v>
      </c>
      <c r="C78" s="16" t="s">
        <v>36</v>
      </c>
      <c r="D78" s="165">
        <v>2</v>
      </c>
      <c r="E78" s="38">
        <v>95.73</v>
      </c>
      <c r="F78" s="74">
        <f>D78*E78</f>
        <v>191.46</v>
      </c>
      <c r="G78" s="37">
        <f t="shared" si="12"/>
        <v>124.44900000000001</v>
      </c>
      <c r="H78" s="37">
        <f>G78*D78</f>
        <v>248.89800000000002</v>
      </c>
      <c r="I78" s="77" t="s">
        <v>188</v>
      </c>
      <c r="J78" s="231" t="s">
        <v>169</v>
      </c>
      <c r="K78" s="72"/>
      <c r="L78" s="25"/>
      <c r="N78" s="12"/>
      <c r="O78" s="12"/>
    </row>
    <row r="79" spans="1:15" ht="12.75">
      <c r="A79" s="14" t="s">
        <v>312</v>
      </c>
      <c r="B79" s="164" t="s">
        <v>190</v>
      </c>
      <c r="C79" s="16" t="s">
        <v>191</v>
      </c>
      <c r="D79" s="165">
        <v>1</v>
      </c>
      <c r="E79" s="38">
        <v>15.25</v>
      </c>
      <c r="F79" s="74">
        <f>D79*E79</f>
        <v>15.25</v>
      </c>
      <c r="G79" s="37">
        <f t="shared" si="12"/>
        <v>19.825</v>
      </c>
      <c r="H79" s="37">
        <f>G79*D79</f>
        <v>19.825</v>
      </c>
      <c r="I79" s="77" t="s">
        <v>188</v>
      </c>
      <c r="J79" s="231" t="s">
        <v>189</v>
      </c>
      <c r="K79" s="72"/>
      <c r="L79" s="25"/>
      <c r="N79" s="12"/>
      <c r="O79" s="12"/>
    </row>
    <row r="80" spans="1:15" ht="12.75">
      <c r="A80" s="14" t="s">
        <v>313</v>
      </c>
      <c r="B80" s="164" t="s">
        <v>179</v>
      </c>
      <c r="C80" s="16" t="s">
        <v>164</v>
      </c>
      <c r="D80" s="165">
        <v>4</v>
      </c>
      <c r="E80" s="38">
        <v>40.46</v>
      </c>
      <c r="F80" s="74">
        <f>D80*E80</f>
        <v>161.84</v>
      </c>
      <c r="G80" s="37">
        <f t="shared" si="12"/>
        <v>52.598000000000006</v>
      </c>
      <c r="H80" s="37">
        <f>G80*D80</f>
        <v>210.39200000000002</v>
      </c>
      <c r="I80" s="77" t="s">
        <v>188</v>
      </c>
      <c r="J80" s="231" t="s">
        <v>178</v>
      </c>
      <c r="K80" s="72"/>
      <c r="L80" s="52"/>
      <c r="N80" s="12"/>
      <c r="O80" s="12"/>
    </row>
    <row r="81" spans="1:15" ht="12.75">
      <c r="A81" s="14" t="s">
        <v>314</v>
      </c>
      <c r="B81" s="164" t="s">
        <v>271</v>
      </c>
      <c r="C81" s="16" t="s">
        <v>164</v>
      </c>
      <c r="D81" s="165">
        <v>1</v>
      </c>
      <c r="E81" s="38">
        <v>65.28</v>
      </c>
      <c r="F81" s="74">
        <f>D81*E81</f>
        <v>65.28</v>
      </c>
      <c r="G81" s="37">
        <f t="shared" si="12"/>
        <v>84.864</v>
      </c>
      <c r="H81" s="37">
        <f>G81*D81</f>
        <v>84.864</v>
      </c>
      <c r="I81" s="77" t="s">
        <v>188</v>
      </c>
      <c r="J81" s="231" t="s">
        <v>270</v>
      </c>
      <c r="K81" s="72"/>
      <c r="L81" s="52"/>
      <c r="N81" s="12"/>
      <c r="O81" s="12"/>
    </row>
    <row r="82" spans="1:15" ht="12.75">
      <c r="A82" s="150" t="s">
        <v>158</v>
      </c>
      <c r="B82" s="96" t="s">
        <v>334</v>
      </c>
      <c r="C82" s="166"/>
      <c r="D82" s="167"/>
      <c r="E82" s="98"/>
      <c r="F82" s="140"/>
      <c r="G82" s="151"/>
      <c r="H82" s="202">
        <f>SUM(H83)</f>
        <v>780</v>
      </c>
      <c r="I82" s="101"/>
      <c r="J82" s="228"/>
      <c r="K82" s="72"/>
      <c r="L82" s="52"/>
      <c r="N82" s="12"/>
      <c r="O82" s="12"/>
    </row>
    <row r="83" spans="1:15" ht="15.75" customHeight="1">
      <c r="A83" s="14" t="s">
        <v>159</v>
      </c>
      <c r="B83" s="164" t="s">
        <v>335</v>
      </c>
      <c r="C83" s="16" t="s">
        <v>164</v>
      </c>
      <c r="D83" s="165">
        <v>1</v>
      </c>
      <c r="E83" s="38">
        <v>600</v>
      </c>
      <c r="F83" s="74">
        <f>D83*E83</f>
        <v>600</v>
      </c>
      <c r="G83" s="37">
        <f>E83*(1+J$5)</f>
        <v>780</v>
      </c>
      <c r="H83" s="37">
        <f>G83*D83</f>
        <v>780</v>
      </c>
      <c r="I83" s="77" t="s">
        <v>263</v>
      </c>
      <c r="J83" s="232" t="s">
        <v>353</v>
      </c>
      <c r="K83" s="72"/>
      <c r="L83" s="52"/>
      <c r="N83" s="12"/>
      <c r="O83" s="12"/>
    </row>
    <row r="84" spans="1:15" ht="12.75">
      <c r="A84" s="150" t="s">
        <v>315</v>
      </c>
      <c r="B84" s="96" t="s">
        <v>143</v>
      </c>
      <c r="C84" s="166"/>
      <c r="D84" s="167"/>
      <c r="E84" s="98"/>
      <c r="F84" s="140"/>
      <c r="G84" s="100"/>
      <c r="H84" s="201">
        <f>SUM(H85:H87)</f>
        <v>914.0612000000001</v>
      </c>
      <c r="I84" s="101"/>
      <c r="J84" s="228"/>
      <c r="K84" s="72"/>
      <c r="L84" s="52"/>
      <c r="N84" s="12"/>
      <c r="O84" s="12"/>
    </row>
    <row r="85" spans="1:15" ht="12.75">
      <c r="A85" s="14" t="s">
        <v>316</v>
      </c>
      <c r="B85" s="164" t="s">
        <v>121</v>
      </c>
      <c r="C85" s="16" t="s">
        <v>122</v>
      </c>
      <c r="D85" s="165">
        <f>3*0.6</f>
        <v>1.7999999999999998</v>
      </c>
      <c r="E85" s="37">
        <v>259.46</v>
      </c>
      <c r="F85" s="74">
        <f>D85*E85</f>
        <v>467.0279999999999</v>
      </c>
      <c r="G85" s="37">
        <f>E85*(1+J$5)</f>
        <v>337.298</v>
      </c>
      <c r="H85" s="37">
        <f>G85*D85</f>
        <v>607.1364</v>
      </c>
      <c r="I85" s="77" t="s">
        <v>188</v>
      </c>
      <c r="J85" s="232" t="s">
        <v>120</v>
      </c>
      <c r="K85" s="72"/>
      <c r="L85" s="52"/>
      <c r="N85" s="12"/>
      <c r="O85" s="12"/>
    </row>
    <row r="86" spans="1:15" ht="12.75">
      <c r="A86" s="14" t="s">
        <v>161</v>
      </c>
      <c r="B86" s="164" t="s">
        <v>145</v>
      </c>
      <c r="C86" s="16" t="s">
        <v>146</v>
      </c>
      <c r="D86" s="165">
        <f>3+0.6</f>
        <v>3.6</v>
      </c>
      <c r="E86" s="37">
        <v>27.71</v>
      </c>
      <c r="F86" s="74">
        <f>D86*E86</f>
        <v>99.756</v>
      </c>
      <c r="G86" s="37">
        <f>E86*(1+J$5)</f>
        <v>36.023</v>
      </c>
      <c r="H86" s="37">
        <f>G86*D86</f>
        <v>129.68280000000001</v>
      </c>
      <c r="I86" s="77" t="s">
        <v>188</v>
      </c>
      <c r="J86" s="232" t="s">
        <v>144</v>
      </c>
      <c r="K86" s="72"/>
      <c r="L86" s="89"/>
      <c r="N86" s="12"/>
      <c r="O86" s="12"/>
    </row>
    <row r="87" spans="1:15" ht="12.75">
      <c r="A87" s="14" t="s">
        <v>162</v>
      </c>
      <c r="B87" s="15" t="s">
        <v>114</v>
      </c>
      <c r="C87" s="16" t="s">
        <v>164</v>
      </c>
      <c r="D87" s="162">
        <v>1</v>
      </c>
      <c r="E87" s="141">
        <v>136.34</v>
      </c>
      <c r="F87" s="74">
        <f>E87*D87</f>
        <v>136.34</v>
      </c>
      <c r="G87" s="76">
        <f>E87*(1+J$5)</f>
        <v>177.24200000000002</v>
      </c>
      <c r="H87" s="75">
        <f>G87*D87</f>
        <v>177.24200000000002</v>
      </c>
      <c r="I87" s="77" t="s">
        <v>188</v>
      </c>
      <c r="J87" s="233" t="s">
        <v>123</v>
      </c>
      <c r="K87" s="72"/>
      <c r="L87" s="89"/>
      <c r="N87" s="12"/>
      <c r="O87" s="12"/>
    </row>
    <row r="88" spans="1:17" s="2" customFormat="1" ht="12.75">
      <c r="A88" s="150" t="s">
        <v>163</v>
      </c>
      <c r="B88" s="96" t="s">
        <v>138</v>
      </c>
      <c r="C88" s="166"/>
      <c r="D88" s="167"/>
      <c r="E88" s="98"/>
      <c r="F88" s="140"/>
      <c r="G88" s="100"/>
      <c r="H88" s="201">
        <f>SUM(H89)</f>
        <v>390.2454413</v>
      </c>
      <c r="I88" s="101"/>
      <c r="J88" s="228"/>
      <c r="K88" s="46"/>
      <c r="L88" s="53"/>
      <c r="M88" s="21"/>
      <c r="N88" s="40"/>
      <c r="O88" s="40"/>
      <c r="P88" s="4"/>
      <c r="Q88" s="4"/>
    </row>
    <row r="89" spans="1:17" s="2" customFormat="1" ht="12.75">
      <c r="A89" s="14" t="s">
        <v>317</v>
      </c>
      <c r="B89" s="81" t="s">
        <v>139</v>
      </c>
      <c r="C89" s="82" t="s">
        <v>122</v>
      </c>
      <c r="D89" s="102">
        <f>D39+10.61*5.97</f>
        <v>118.6517</v>
      </c>
      <c r="E89" s="102">
        <v>2.53</v>
      </c>
      <c r="F89" s="74">
        <f>E89*D89</f>
        <v>300.188801</v>
      </c>
      <c r="G89" s="76">
        <f>E89*(1+J$5)</f>
        <v>3.2889999999999997</v>
      </c>
      <c r="H89" s="75">
        <f>G89*D89</f>
        <v>390.2454413</v>
      </c>
      <c r="I89" s="77" t="s">
        <v>188</v>
      </c>
      <c r="J89" s="231" t="s">
        <v>140</v>
      </c>
      <c r="K89" s="53"/>
      <c r="L89" s="53"/>
      <c r="M89" s="21"/>
      <c r="N89" s="40"/>
      <c r="O89" s="13"/>
      <c r="P89" s="4"/>
      <c r="Q89" s="4"/>
    </row>
    <row r="90" spans="1:17" s="2" customFormat="1" ht="12.75">
      <c r="A90" s="58"/>
      <c r="B90" s="78" t="s">
        <v>6</v>
      </c>
      <c r="C90" s="79"/>
      <c r="D90" s="80"/>
      <c r="E90" s="59" t="s">
        <v>7</v>
      </c>
      <c r="F90" s="60">
        <f>SUM(F9:F89)</f>
        <v>71665.34029255497</v>
      </c>
      <c r="G90" s="60"/>
      <c r="H90" s="60">
        <f>SUM(H8:H89)/2</f>
        <v>93164.94238032153</v>
      </c>
      <c r="I90" s="56"/>
      <c r="J90" s="234"/>
      <c r="K90" s="53"/>
      <c r="L90" s="53"/>
      <c r="M90" s="21"/>
      <c r="N90" s="40"/>
      <c r="O90" s="13"/>
      <c r="P90" s="4"/>
      <c r="Q90" s="4"/>
    </row>
    <row r="91" spans="1:17" s="2" customFormat="1" ht="12.75">
      <c r="A91" s="244"/>
      <c r="B91" s="245"/>
      <c r="C91" s="27"/>
      <c r="D91" s="28"/>
      <c r="E91" s="246"/>
      <c r="F91" s="247"/>
      <c r="G91" s="247"/>
      <c r="H91" s="247"/>
      <c r="I91" s="248"/>
      <c r="J91" s="235"/>
      <c r="K91" s="53"/>
      <c r="L91" s="53"/>
      <c r="M91" s="21"/>
      <c r="N91" s="40"/>
      <c r="O91" s="13"/>
      <c r="P91" s="4"/>
      <c r="Q91" s="4"/>
    </row>
    <row r="92" spans="1:17" s="2" customFormat="1" ht="12.75">
      <c r="A92" s="244"/>
      <c r="B92" s="245"/>
      <c r="C92" s="27"/>
      <c r="D92" s="28"/>
      <c r="E92" s="246"/>
      <c r="F92" s="247"/>
      <c r="G92" s="247"/>
      <c r="H92" s="247"/>
      <c r="I92" s="251"/>
      <c r="J92" s="250"/>
      <c r="K92" s="53"/>
      <c r="L92" s="53"/>
      <c r="M92" s="21"/>
      <c r="N92" s="40"/>
      <c r="O92" s="13"/>
      <c r="P92" s="4"/>
      <c r="Q92" s="4"/>
    </row>
    <row r="93" spans="1:17" s="2" customFormat="1" ht="24" customHeight="1">
      <c r="A93" s="61"/>
      <c r="B93" s="224" t="s">
        <v>350</v>
      </c>
      <c r="C93" s="62"/>
      <c r="D93" s="63"/>
      <c r="E93" s="64"/>
      <c r="F93" s="65"/>
      <c r="G93" s="65"/>
      <c r="H93" s="65"/>
      <c r="I93" s="249"/>
      <c r="J93" s="250"/>
      <c r="K93" s="53"/>
      <c r="L93" s="53"/>
      <c r="M93" s="21"/>
      <c r="N93" s="40"/>
      <c r="O93" s="13"/>
      <c r="P93" s="4"/>
      <c r="Q93" s="4"/>
    </row>
    <row r="94" spans="1:17" s="2" customFormat="1" ht="24" customHeight="1" thickBot="1">
      <c r="A94" s="66"/>
      <c r="B94" s="223" t="s">
        <v>351</v>
      </c>
      <c r="C94" s="67"/>
      <c r="D94" s="68"/>
      <c r="E94" s="69"/>
      <c r="F94" s="70"/>
      <c r="G94" s="70"/>
      <c r="H94" s="70"/>
      <c r="I94" s="236"/>
      <c r="J94" s="237"/>
      <c r="K94" s="53"/>
      <c r="L94" s="53"/>
      <c r="M94" s="21"/>
      <c r="N94" s="40"/>
      <c r="O94" s="13"/>
      <c r="P94" s="4"/>
      <c r="Q94" s="4"/>
    </row>
    <row r="95" spans="1:17" s="2" customFormat="1" ht="24" customHeight="1">
      <c r="A95" s="41"/>
      <c r="B95" s="42"/>
      <c r="C95" s="43"/>
      <c r="D95" s="44"/>
      <c r="E95" s="45"/>
      <c r="F95" s="46"/>
      <c r="G95" s="46"/>
      <c r="H95" s="46"/>
      <c r="I95" s="47"/>
      <c r="J95" s="71"/>
      <c r="K95" s="53"/>
      <c r="L95" s="53"/>
      <c r="M95" s="21"/>
      <c r="N95" s="40"/>
      <c r="O95" s="13"/>
      <c r="P95" s="4"/>
      <c r="Q95" s="4"/>
    </row>
    <row r="96" spans="1:17" ht="24.75" customHeight="1">
      <c r="A96" s="41"/>
      <c r="B96" s="42"/>
      <c r="C96" s="43"/>
      <c r="D96" s="44"/>
      <c r="E96" s="45"/>
      <c r="F96" s="46"/>
      <c r="G96" s="46"/>
      <c r="H96" s="46"/>
      <c r="I96" s="47"/>
      <c r="J96" s="53"/>
      <c r="K96" s="54"/>
      <c r="L96" s="54"/>
      <c r="O96" s="4"/>
      <c r="P96" s="4"/>
      <c r="Q96" s="4"/>
    </row>
    <row r="97" spans="1:17" ht="25.5" customHeight="1">
      <c r="A97" s="41"/>
      <c r="B97" s="42"/>
      <c r="C97" s="43"/>
      <c r="D97" s="44"/>
      <c r="E97" s="45"/>
      <c r="F97" s="46"/>
      <c r="G97" s="46"/>
      <c r="H97" s="46"/>
      <c r="I97" s="47"/>
      <c r="J97" s="53"/>
      <c r="K97" s="55"/>
      <c r="L97" s="55"/>
      <c r="O97" s="4"/>
      <c r="P97" s="4"/>
      <c r="Q97" s="4"/>
    </row>
    <row r="98" spans="1:17" ht="12.75">
      <c r="A98" s="107"/>
      <c r="B98" s="108"/>
      <c r="C98" s="108"/>
      <c r="D98" s="108"/>
      <c r="E98" s="110"/>
      <c r="F98" s="110"/>
      <c r="G98" s="110"/>
      <c r="H98" s="110"/>
      <c r="I98" s="108"/>
      <c r="J98" s="109"/>
      <c r="O98" s="4"/>
      <c r="P98" s="4"/>
      <c r="Q98" s="4"/>
    </row>
    <row r="99" spans="1:17" ht="12.75">
      <c r="A99" s="317"/>
      <c r="B99" s="318"/>
      <c r="C99" s="318"/>
      <c r="D99" s="318"/>
      <c r="E99" s="318"/>
      <c r="F99" s="318"/>
      <c r="G99" s="318"/>
      <c r="H99" s="318"/>
      <c r="I99" s="318"/>
      <c r="J99" s="55"/>
      <c r="O99" s="4"/>
      <c r="P99" s="4"/>
      <c r="Q99" s="4"/>
    </row>
    <row r="100" ht="12.75">
      <c r="D100" s="18"/>
    </row>
    <row r="101" spans="4:14" ht="20.25">
      <c r="D101" s="18"/>
      <c r="N101" s="24"/>
    </row>
    <row r="102" ht="12.75">
      <c r="D102" s="18"/>
    </row>
    <row r="103" spans="4:14" ht="20.25">
      <c r="D103" s="18"/>
      <c r="N103" s="23"/>
    </row>
    <row r="104" ht="12.75">
      <c r="D104" s="18"/>
    </row>
    <row r="105" ht="12.75">
      <c r="D105" s="18"/>
    </row>
    <row r="106" ht="12.75">
      <c r="D106" s="18"/>
    </row>
    <row r="107" ht="12.75">
      <c r="D107" s="18"/>
    </row>
    <row r="108" ht="12.75">
      <c r="D108" s="18"/>
    </row>
    <row r="109" ht="12.75">
      <c r="D109" s="18"/>
    </row>
    <row r="110" ht="12.75">
      <c r="D110" s="18"/>
    </row>
    <row r="111" spans="4:8" ht="12.75">
      <c r="D111" s="18"/>
      <c r="F111" s="19"/>
      <c r="G111" s="19"/>
      <c r="H111" s="19"/>
    </row>
    <row r="112" spans="4:8" ht="12.75">
      <c r="D112" s="18"/>
      <c r="F112" s="20"/>
      <c r="G112" s="20"/>
      <c r="H112" s="20"/>
    </row>
    <row r="113" spans="1:8" s="4" customFormat="1" ht="12.75">
      <c r="A113" s="3"/>
      <c r="B113" s="6"/>
      <c r="C113" s="7"/>
      <c r="D113" s="18"/>
      <c r="E113" s="9"/>
      <c r="F113" s="20"/>
      <c r="G113" s="20"/>
      <c r="H113" s="20"/>
    </row>
    <row r="114" spans="1:15" s="35" customFormat="1" ht="25.5" customHeight="1">
      <c r="A114" s="3"/>
      <c r="B114" s="6"/>
      <c r="C114" s="7"/>
      <c r="D114" s="18"/>
      <c r="E114" s="9"/>
      <c r="F114" s="20"/>
      <c r="G114" s="20"/>
      <c r="H114" s="20"/>
      <c r="I114" s="4"/>
      <c r="J114" s="4"/>
      <c r="K114" s="25"/>
      <c r="L114" s="25"/>
      <c r="N114" s="13"/>
      <c r="O114" s="13"/>
    </row>
    <row r="115" spans="1:15" s="35" customFormat="1" ht="15" customHeight="1">
      <c r="A115" s="4"/>
      <c r="B115" s="26"/>
      <c r="C115" s="27"/>
      <c r="D115" s="28"/>
      <c r="E115" s="29"/>
      <c r="F115" s="30"/>
      <c r="G115" s="30"/>
      <c r="H115" s="30"/>
      <c r="I115" s="4"/>
      <c r="J115" s="4"/>
      <c r="K115" s="25"/>
      <c r="L115" s="25"/>
      <c r="N115" s="13"/>
      <c r="O115" s="13"/>
    </row>
    <row r="116" spans="1:10" ht="12.75">
      <c r="A116" s="31"/>
      <c r="B116" s="26"/>
      <c r="C116" s="32"/>
      <c r="D116" s="33"/>
      <c r="E116" s="34"/>
      <c r="F116" s="34"/>
      <c r="G116" s="34"/>
      <c r="H116" s="34"/>
      <c r="I116" s="25"/>
      <c r="J116" s="25"/>
    </row>
    <row r="117" spans="1:10" ht="12.75">
      <c r="A117" s="31"/>
      <c r="B117" s="26"/>
      <c r="C117" s="32"/>
      <c r="D117" s="33"/>
      <c r="E117" s="34"/>
      <c r="F117" s="34"/>
      <c r="G117" s="34"/>
      <c r="H117" s="34"/>
      <c r="I117" s="25"/>
      <c r="J117" s="25"/>
    </row>
    <row r="118" spans="1:8" ht="12.75">
      <c r="A118" s="4"/>
      <c r="B118" s="26"/>
      <c r="C118" s="27"/>
      <c r="D118" s="28"/>
      <c r="E118" s="29"/>
      <c r="F118" s="29"/>
      <c r="G118" s="29"/>
      <c r="H118" s="29"/>
    </row>
    <row r="119" ht="12.75">
      <c r="D119" s="18"/>
    </row>
    <row r="120" ht="12.75">
      <c r="D120" s="18"/>
    </row>
    <row r="121" ht="12.75">
      <c r="D121" s="18"/>
    </row>
    <row r="122" ht="12.75">
      <c r="D122" s="18"/>
    </row>
    <row r="123" ht="12.75">
      <c r="D123" s="18"/>
    </row>
    <row r="124" ht="12.75">
      <c r="D124" s="18"/>
    </row>
    <row r="125" ht="12.75">
      <c r="D125" s="18"/>
    </row>
    <row r="126" ht="12.75">
      <c r="D126" s="18"/>
    </row>
    <row r="127" ht="12.75">
      <c r="D127" s="18"/>
    </row>
    <row r="128" ht="12.75">
      <c r="D128" s="18"/>
    </row>
    <row r="129" ht="12.75">
      <c r="D129" s="18"/>
    </row>
    <row r="130" ht="12.75">
      <c r="D130" s="18"/>
    </row>
    <row r="131" ht="12.75">
      <c r="D131" s="18"/>
    </row>
    <row r="132" ht="12.75">
      <c r="D132" s="18"/>
    </row>
    <row r="133" ht="12.75">
      <c r="D133" s="18"/>
    </row>
    <row r="134" ht="12.75">
      <c r="D134" s="18"/>
    </row>
    <row r="135" ht="12.75">
      <c r="D135" s="18"/>
    </row>
    <row r="136" ht="12.75">
      <c r="D136" s="18"/>
    </row>
    <row r="137" ht="12.75">
      <c r="D137" s="18"/>
    </row>
    <row r="138" spans="1:9" ht="12.75">
      <c r="A138" s="5"/>
      <c r="D138" s="18"/>
      <c r="I138" s="13"/>
    </row>
    <row r="139" ht="12.75">
      <c r="D139" s="18"/>
    </row>
    <row r="140" ht="12.75">
      <c r="D140" s="18"/>
    </row>
    <row r="141" ht="12.75">
      <c r="D141" s="18"/>
    </row>
    <row r="142" ht="12.75">
      <c r="D142" s="18"/>
    </row>
    <row r="143" ht="12.75">
      <c r="D143" s="18"/>
    </row>
    <row r="144" ht="12.75">
      <c r="D144" s="18"/>
    </row>
    <row r="145" ht="12.75">
      <c r="D145" s="18"/>
    </row>
    <row r="146" ht="12.75">
      <c r="D146" s="18"/>
    </row>
    <row r="147" ht="12.75">
      <c r="D147" s="18"/>
    </row>
    <row r="148" ht="12.75">
      <c r="D148" s="18"/>
    </row>
    <row r="149" ht="12.75">
      <c r="D149" s="18"/>
    </row>
    <row r="150" ht="12.75">
      <c r="D150" s="18"/>
    </row>
    <row r="151" ht="12.75">
      <c r="D151" s="18"/>
    </row>
    <row r="152" ht="12.75">
      <c r="D152" s="18"/>
    </row>
    <row r="153" ht="12.75">
      <c r="D153" s="18"/>
    </row>
    <row r="154" ht="12.75">
      <c r="D154" s="18"/>
    </row>
    <row r="155" ht="12.75">
      <c r="D155" s="18"/>
    </row>
    <row r="156" ht="12.75">
      <c r="D156" s="18"/>
    </row>
    <row r="157" ht="12.75">
      <c r="D157" s="18"/>
    </row>
    <row r="158" ht="12.75">
      <c r="D158" s="18"/>
    </row>
    <row r="159" ht="12.75">
      <c r="D159" s="18"/>
    </row>
    <row r="160" ht="12.75">
      <c r="D160" s="18"/>
    </row>
    <row r="161" ht="12.75">
      <c r="D161" s="18"/>
    </row>
    <row r="162" ht="12.75">
      <c r="D162" s="18"/>
    </row>
    <row r="163" ht="12.75">
      <c r="D163" s="18"/>
    </row>
    <row r="164" ht="12.75">
      <c r="D164" s="18"/>
    </row>
    <row r="165" ht="12.75">
      <c r="D165" s="18"/>
    </row>
    <row r="166" ht="12.75">
      <c r="D166" s="18"/>
    </row>
    <row r="167" ht="12.75">
      <c r="D167" s="18"/>
    </row>
    <row r="168" ht="12.75">
      <c r="D168" s="18"/>
    </row>
    <row r="169" ht="12.75">
      <c r="D169" s="18"/>
    </row>
    <row r="170" ht="12.75">
      <c r="D170" s="18"/>
    </row>
    <row r="171" ht="12.75">
      <c r="D171" s="18"/>
    </row>
    <row r="172" ht="12.75">
      <c r="D172" s="18"/>
    </row>
    <row r="173" ht="12.75">
      <c r="D173" s="18"/>
    </row>
    <row r="174" ht="12.75">
      <c r="D174" s="18"/>
    </row>
    <row r="175" ht="12.75">
      <c r="D175" s="18"/>
    </row>
    <row r="176" ht="12.75">
      <c r="D176" s="18"/>
    </row>
    <row r="177" ht="12.75">
      <c r="D177" s="18"/>
    </row>
    <row r="178" ht="12.75">
      <c r="D178" s="18"/>
    </row>
    <row r="179" ht="12.75">
      <c r="D179" s="18"/>
    </row>
    <row r="180" ht="12.75">
      <c r="D180" s="18"/>
    </row>
    <row r="181" ht="12.75">
      <c r="D181" s="18"/>
    </row>
    <row r="182" ht="12.75">
      <c r="D182" s="18"/>
    </row>
    <row r="183" ht="12.75">
      <c r="D183" s="18"/>
    </row>
  </sheetData>
  <sheetProtection/>
  <mergeCells count="14">
    <mergeCell ref="A5:H5"/>
    <mergeCell ref="A2:H2"/>
    <mergeCell ref="B3:H3"/>
    <mergeCell ref="B6:B7"/>
    <mergeCell ref="A1:H1"/>
    <mergeCell ref="A4:H4"/>
    <mergeCell ref="A99:I99"/>
    <mergeCell ref="J6:J7"/>
    <mergeCell ref="E6:F6"/>
    <mergeCell ref="I6:I7"/>
    <mergeCell ref="D6:D7"/>
    <mergeCell ref="G6:H6"/>
    <mergeCell ref="A6:A7"/>
    <mergeCell ref="C6:C7"/>
  </mergeCells>
  <conditionalFormatting sqref="C49:C52 C46 E9:E14 C9:C34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7" r:id="rId2"/>
  <headerFooter alignWithMargins="0">
    <oddFooter>&amp;CPágina &amp;P</oddFooter>
  </headerFooter>
  <rowBreaks count="1" manualBreakCount="1">
    <brk id="4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showZeros="0" view="pageBreakPreview" zoomScaleSheetLayoutView="100" workbookViewId="0" topLeftCell="A1">
      <selection activeCell="G24" sqref="G24"/>
    </sheetView>
  </sheetViews>
  <sheetFormatPr defaultColWidth="9.140625" defaultRowHeight="12.75"/>
  <cols>
    <col min="1" max="1" width="10.00390625" style="186" customWidth="1"/>
    <col min="2" max="2" width="48.28125" style="186" customWidth="1"/>
    <col min="3" max="3" width="20.7109375" style="197" customWidth="1"/>
    <col min="4" max="4" width="20.7109375" style="198" customWidth="1"/>
    <col min="5" max="7" width="20.7109375" style="186" customWidth="1"/>
    <col min="8" max="16384" width="9.140625" style="186" customWidth="1"/>
  </cols>
  <sheetData>
    <row r="1" spans="1:7" ht="21.75" customHeight="1">
      <c r="A1" s="334" t="s">
        <v>251</v>
      </c>
      <c r="B1" s="335"/>
      <c r="C1" s="335"/>
      <c r="D1" s="335"/>
      <c r="E1" s="335"/>
      <c r="F1" s="335"/>
      <c r="G1" s="336"/>
    </row>
    <row r="2" spans="1:7" ht="18" customHeight="1">
      <c r="A2" s="337" t="s">
        <v>252</v>
      </c>
      <c r="B2" s="338"/>
      <c r="C2" s="338"/>
      <c r="D2" s="338"/>
      <c r="E2" s="338"/>
      <c r="F2" s="338"/>
      <c r="G2" s="339"/>
    </row>
    <row r="3" spans="1:7" ht="18" customHeight="1">
      <c r="A3" s="340" t="s">
        <v>253</v>
      </c>
      <c r="B3" s="341"/>
      <c r="C3" s="341"/>
      <c r="D3" s="341"/>
      <c r="E3" s="341"/>
      <c r="F3" s="341"/>
      <c r="G3" s="342"/>
    </row>
    <row r="4" spans="1:7" ht="36" customHeight="1">
      <c r="A4" s="276" t="s">
        <v>4</v>
      </c>
      <c r="B4" s="277" t="s">
        <v>254</v>
      </c>
      <c r="C4" s="278" t="s">
        <v>255</v>
      </c>
      <c r="D4" s="279" t="s">
        <v>256</v>
      </c>
      <c r="E4" s="280" t="s">
        <v>257</v>
      </c>
      <c r="F4" s="280" t="s">
        <v>258</v>
      </c>
      <c r="G4" s="281" t="s">
        <v>275</v>
      </c>
    </row>
    <row r="5" spans="1:7" ht="14.25" customHeight="1">
      <c r="A5" s="343">
        <f>'Planilha '!A8</f>
        <v>1</v>
      </c>
      <c r="B5" s="332" t="str">
        <f>'Planilha '!B8</f>
        <v>SERVIÇOS PRELIMINARES</v>
      </c>
      <c r="C5" s="252">
        <f>C6/$C$36</f>
        <v>0.04314050514424448</v>
      </c>
      <c r="D5" s="253">
        <f aca="true" t="shared" si="0" ref="D5:D34">SUM(E5:G5)</f>
        <v>1</v>
      </c>
      <c r="E5" s="203">
        <f>E6/C6</f>
        <v>0.9423381302389178</v>
      </c>
      <c r="F5" s="207"/>
      <c r="G5" s="282">
        <f>G6/C6</f>
        <v>0.057661869761082285</v>
      </c>
    </row>
    <row r="6" spans="1:7" ht="14.25" customHeight="1">
      <c r="A6" s="331"/>
      <c r="B6" s="333"/>
      <c r="C6" s="204">
        <f>'Planilha '!H8</f>
        <v>4019.1826760215</v>
      </c>
      <c r="D6" s="205">
        <f t="shared" si="0"/>
        <v>4019.1826760215</v>
      </c>
      <c r="E6" s="206">
        <f>'Planilha '!H10+'Planilha '!H9/2+'Planilha '!H11</f>
        <v>3787.42908801075</v>
      </c>
      <c r="F6" s="206"/>
      <c r="G6" s="258">
        <f>'Planilha '!H9/2</f>
        <v>231.7535880107499</v>
      </c>
    </row>
    <row r="7" spans="1:7" ht="14.25" customHeight="1">
      <c r="A7" s="330" t="str">
        <f>'Planilha '!A12</f>
        <v>2</v>
      </c>
      <c r="B7" s="332" t="str">
        <f>'Planilha '!B12</f>
        <v>ADMINISTRAÇÃO LOCAL</v>
      </c>
      <c r="C7" s="252">
        <f>C8/$C$36</f>
        <v>0.2149490944592682</v>
      </c>
      <c r="D7" s="253">
        <f t="shared" si="0"/>
        <v>1</v>
      </c>
      <c r="E7" s="203">
        <f>E8/C8</f>
        <v>0.33333333333333337</v>
      </c>
      <c r="F7" s="203">
        <f>F8/C8</f>
        <v>0.33333333333333337</v>
      </c>
      <c r="G7" s="283">
        <f>G8/C8</f>
        <v>0.33333333333333337</v>
      </c>
    </row>
    <row r="8" spans="1:7" ht="14.25" customHeight="1">
      <c r="A8" s="331"/>
      <c r="B8" s="333"/>
      <c r="C8" s="204">
        <f>'Planilha '!H12</f>
        <v>20025.72</v>
      </c>
      <c r="D8" s="205">
        <f t="shared" si="0"/>
        <v>20025.72</v>
      </c>
      <c r="E8" s="206">
        <f>'Planilha '!H12/3</f>
        <v>6675.240000000001</v>
      </c>
      <c r="F8" s="206">
        <f>'Planilha '!H12/3</f>
        <v>6675.240000000001</v>
      </c>
      <c r="G8" s="258">
        <f>'Planilha '!H12/3</f>
        <v>6675.240000000001</v>
      </c>
    </row>
    <row r="9" spans="1:7" ht="14.25" customHeight="1">
      <c r="A9" s="343">
        <f>'Planilha '!A14</f>
        <v>3</v>
      </c>
      <c r="B9" s="332" t="str">
        <f>'Planilha '!B14</f>
        <v>DEMOLIÇÕES E REMOÇÕES</v>
      </c>
      <c r="C9" s="252">
        <f>C10/$C$36</f>
        <v>0.016899558350744585</v>
      </c>
      <c r="D9" s="253">
        <f t="shared" si="0"/>
        <v>1</v>
      </c>
      <c r="E9" s="203">
        <v>1</v>
      </c>
      <c r="F9" s="207"/>
      <c r="G9" s="259"/>
    </row>
    <row r="10" spans="1:7" ht="14.25" customHeight="1">
      <c r="A10" s="331"/>
      <c r="B10" s="333"/>
      <c r="C10" s="204">
        <f>'Planilha '!H14</f>
        <v>1574.44638</v>
      </c>
      <c r="D10" s="205">
        <f t="shared" si="0"/>
        <v>1574.44638</v>
      </c>
      <c r="E10" s="206">
        <f>'Planilha '!H14</f>
        <v>1574.44638</v>
      </c>
      <c r="F10" s="206"/>
      <c r="G10" s="258"/>
    </row>
    <row r="11" spans="1:7" ht="14.25" customHeight="1">
      <c r="A11" s="330" t="str">
        <f>'Planilha '!A21</f>
        <v>4</v>
      </c>
      <c r="B11" s="344" t="str">
        <f>'Planilha '!B21</f>
        <v>MURO DE DIVISA</v>
      </c>
      <c r="C11" s="252">
        <f>C12/$C$36</f>
        <v>0.14153670321793954</v>
      </c>
      <c r="D11" s="253">
        <f t="shared" si="0"/>
        <v>1</v>
      </c>
      <c r="E11" s="203">
        <v>0.5</v>
      </c>
      <c r="F11" s="203">
        <v>0.5</v>
      </c>
      <c r="G11" s="259"/>
    </row>
    <row r="12" spans="1:7" ht="14.25" customHeight="1">
      <c r="A12" s="331"/>
      <c r="B12" s="345"/>
      <c r="C12" s="204">
        <f>'Planilha '!H21</f>
        <v>13186.258800000001</v>
      </c>
      <c r="D12" s="205">
        <f t="shared" si="0"/>
        <v>13186.258800000001</v>
      </c>
      <c r="E12" s="206">
        <f>E11*$C$12</f>
        <v>6593.129400000001</v>
      </c>
      <c r="F12" s="206">
        <f>F11*$C$12</f>
        <v>6593.129400000001</v>
      </c>
      <c r="G12" s="258"/>
    </row>
    <row r="13" spans="1:7" ht="14.25" customHeight="1">
      <c r="A13" s="330" t="str">
        <f>'Planilha '!A23</f>
        <v>5</v>
      </c>
      <c r="B13" s="344" t="str">
        <f>'Planilha '!B23</f>
        <v>COBERTURA</v>
      </c>
      <c r="C13" s="252">
        <f>C14/$C$36</f>
        <v>0.20224269878344103</v>
      </c>
      <c r="D13" s="253">
        <f>SUM(E13:G13)</f>
        <v>1.0000000000000002</v>
      </c>
      <c r="E13" s="203">
        <f>E14/C14</f>
        <v>0.4817328485115962</v>
      </c>
      <c r="F13" s="203">
        <f>F14/C14</f>
        <v>0.518267151488404</v>
      </c>
      <c r="G13" s="259"/>
    </row>
    <row r="14" spans="1:7" ht="14.25" customHeight="1">
      <c r="A14" s="331"/>
      <c r="B14" s="345"/>
      <c r="C14" s="204">
        <f>'Planilha '!H23</f>
        <v>18841.929378999997</v>
      </c>
      <c r="D14" s="205">
        <f>SUM(E14:G14)</f>
        <v>18841.929379</v>
      </c>
      <c r="E14" s="206">
        <f>SUM('Planilha '!H24:H25)</f>
        <v>9076.7763112</v>
      </c>
      <c r="F14" s="206">
        <f>'Planilha '!H26+'Planilha '!H27+'Planilha '!H28+'Planilha '!H29</f>
        <v>9765.1530678</v>
      </c>
      <c r="G14" s="258"/>
    </row>
    <row r="15" spans="1:7" ht="14.25" customHeight="1">
      <c r="A15" s="330" t="str">
        <f>'Planilha '!A30</f>
        <v>6</v>
      </c>
      <c r="B15" s="344" t="str">
        <f>'Planilha '!B30</f>
        <v>ÁGUA PLUVIAL</v>
      </c>
      <c r="C15" s="252">
        <f>C16/$C$36</f>
        <v>0.06658337182968367</v>
      </c>
      <c r="D15" s="253">
        <f t="shared" si="0"/>
        <v>1</v>
      </c>
      <c r="E15" s="207"/>
      <c r="F15" s="203">
        <f>F16/C16</f>
        <v>1</v>
      </c>
      <c r="G15" s="259"/>
    </row>
    <row r="16" spans="1:7" ht="14.25" customHeight="1">
      <c r="A16" s="331"/>
      <c r="B16" s="345"/>
      <c r="C16" s="204">
        <f>'Planilha '!H30</f>
        <v>6203.236000000001</v>
      </c>
      <c r="D16" s="205">
        <f t="shared" si="0"/>
        <v>6203.236000000001</v>
      </c>
      <c r="E16" s="206"/>
      <c r="F16" s="206">
        <f>'Planilha '!H30</f>
        <v>6203.236000000001</v>
      </c>
      <c r="G16" s="258"/>
    </row>
    <row r="17" spans="1:7" ht="14.25" customHeight="1">
      <c r="A17" s="330" t="str">
        <f>'Planilha '!A36</f>
        <v>7</v>
      </c>
      <c r="B17" s="332" t="str">
        <f>'Planilha '!B36</f>
        <v>FORRO </v>
      </c>
      <c r="C17" s="252">
        <f>C18/$C$36</f>
        <v>0.03458106512692379</v>
      </c>
      <c r="D17" s="253">
        <f t="shared" si="0"/>
        <v>1</v>
      </c>
      <c r="E17" s="207"/>
      <c r="F17" s="203">
        <f>F18/C18</f>
        <v>1</v>
      </c>
      <c r="G17" s="259"/>
    </row>
    <row r="18" spans="1:7" ht="14.25" customHeight="1">
      <c r="A18" s="331"/>
      <c r="B18" s="333"/>
      <c r="C18" s="204">
        <f>'Planilha '!H36</f>
        <v>3221.7429399999996</v>
      </c>
      <c r="D18" s="205">
        <f t="shared" si="0"/>
        <v>3221.7429399999996</v>
      </c>
      <c r="E18" s="206">
        <f>E17*$C$18</f>
        <v>0</v>
      </c>
      <c r="F18" s="206">
        <f>'Planilha '!H36</f>
        <v>3221.7429399999996</v>
      </c>
      <c r="G18" s="258"/>
    </row>
    <row r="19" spans="1:7" ht="14.25" customHeight="1">
      <c r="A19" s="330" t="str">
        <f>'Planilha '!A38</f>
        <v>8</v>
      </c>
      <c r="B19" s="332" t="str">
        <f>'Planilha '!B38</f>
        <v>PISO E RODAPÉ</v>
      </c>
      <c r="C19" s="252">
        <f>C20/$C$36</f>
        <v>0.07166906734877498</v>
      </c>
      <c r="D19" s="253">
        <f t="shared" si="0"/>
        <v>1</v>
      </c>
      <c r="E19" s="203">
        <f>E20/C20</f>
        <v>0.8498647469706181</v>
      </c>
      <c r="F19" s="203">
        <f>F20/C20</f>
        <v>0.15013525302938185</v>
      </c>
      <c r="G19" s="259"/>
    </row>
    <row r="20" spans="1:7" ht="14.25" customHeight="1">
      <c r="A20" s="331"/>
      <c r="B20" s="333"/>
      <c r="C20" s="204">
        <f>'Planilha '!H38</f>
        <v>6677.044530000001</v>
      </c>
      <c r="D20" s="205">
        <f t="shared" si="0"/>
        <v>6677.044530000001</v>
      </c>
      <c r="E20" s="206">
        <f>SUM('Planilha '!H39:H40)</f>
        <v>5674.584760000001</v>
      </c>
      <c r="F20" s="206">
        <f>'Planilha '!H41+'Planilha '!H42</f>
        <v>1002.4597700000003</v>
      </c>
      <c r="G20" s="258">
        <f>G19*$C$20</f>
        <v>0</v>
      </c>
    </row>
    <row r="21" spans="1:7" ht="14.25" customHeight="1">
      <c r="A21" s="330" t="str">
        <f>'Planilha '!A43</f>
        <v>9</v>
      </c>
      <c r="B21" s="332" t="str">
        <f>'Planilha '!B43</f>
        <v>ESQUADRIAS</v>
      </c>
      <c r="C21" s="252">
        <f>C22/$C$36</f>
        <v>0.04750705272732363</v>
      </c>
      <c r="D21" s="253">
        <f t="shared" si="0"/>
        <v>1</v>
      </c>
      <c r="E21" s="203">
        <f>E22/Cronograma!C22</f>
        <v>1</v>
      </c>
      <c r="F21" s="207"/>
      <c r="G21" s="259"/>
    </row>
    <row r="22" spans="1:7" ht="14.25" customHeight="1">
      <c r="A22" s="331"/>
      <c r="B22" s="333"/>
      <c r="C22" s="204">
        <f>'Planilha '!H43</f>
        <v>4425.991830000001</v>
      </c>
      <c r="D22" s="205">
        <f t="shared" si="0"/>
        <v>4425.991830000001</v>
      </c>
      <c r="E22" s="206">
        <f>'Planilha '!H43</f>
        <v>4425.991830000001</v>
      </c>
      <c r="F22" s="206"/>
      <c r="G22" s="258">
        <f>G21*$C$22</f>
        <v>0</v>
      </c>
    </row>
    <row r="23" spans="1:7" ht="14.25" customHeight="1">
      <c r="A23" s="330" t="str">
        <f>'Planilha '!A46</f>
        <v>10</v>
      </c>
      <c r="B23" s="332" t="str">
        <f>'Planilha '!B46</f>
        <v>PINTURA</v>
      </c>
      <c r="C23" s="252">
        <f>C24/$C$36</f>
        <v>0.09159242184861163</v>
      </c>
      <c r="D23" s="253">
        <f t="shared" si="0"/>
        <v>1</v>
      </c>
      <c r="E23" s="207"/>
      <c r="F23" s="207"/>
      <c r="G23" s="283">
        <f>G24/C24</f>
        <v>1</v>
      </c>
    </row>
    <row r="24" spans="1:7" ht="14.25" customHeight="1">
      <c r="A24" s="331"/>
      <c r="B24" s="333"/>
      <c r="C24" s="204">
        <f>'Planilha '!H46</f>
        <v>8533.202704000001</v>
      </c>
      <c r="D24" s="205">
        <f t="shared" si="0"/>
        <v>8533.202704000001</v>
      </c>
      <c r="E24" s="206"/>
      <c r="F24" s="206"/>
      <c r="G24" s="258">
        <f>'Planilha '!H46</f>
        <v>8533.202704000001</v>
      </c>
    </row>
    <row r="25" spans="1:7" ht="14.25" customHeight="1">
      <c r="A25" s="351" t="str">
        <f>'Planilha '!A55</f>
        <v>11</v>
      </c>
      <c r="B25" s="344" t="str">
        <f>'Planilha '!B55</f>
        <v>INSTALAÇÕES HIDRO-SANITÁRIAS</v>
      </c>
      <c r="C25" s="252">
        <f>C26/$C$36</f>
        <v>0.012049478820233949</v>
      </c>
      <c r="D25" s="253">
        <f>SUM(E25:F25)</f>
        <v>1</v>
      </c>
      <c r="E25" s="203">
        <f>E26/C26</f>
        <v>0.8190103412736095</v>
      </c>
      <c r="F25" s="203">
        <f>F26/C26</f>
        <v>0.18098965872639053</v>
      </c>
      <c r="G25" s="260"/>
    </row>
    <row r="26" spans="1:7" ht="14.25" customHeight="1">
      <c r="A26" s="352"/>
      <c r="B26" s="345"/>
      <c r="C26" s="204">
        <f>'Planilha '!H55</f>
        <v>1122.589</v>
      </c>
      <c r="D26" s="205">
        <f>SUM(E26:F26)</f>
        <v>1122.589</v>
      </c>
      <c r="E26" s="206">
        <f>SUM('Planilha '!H56:H63)</f>
        <v>919.4119999999999</v>
      </c>
      <c r="F26" s="206">
        <f>SUM('Planilha '!H64:H65)</f>
        <v>203.17700000000002</v>
      </c>
      <c r="G26" s="261"/>
    </row>
    <row r="27" spans="1:7" ht="14.25" customHeight="1">
      <c r="A27" s="351" t="str">
        <f>'Planilha '!A66</f>
        <v>12</v>
      </c>
      <c r="B27" s="344" t="str">
        <f>'Planilha '!B66</f>
        <v>INSTALAÇÕES ELÉTRICAS</v>
      </c>
      <c r="C27" s="252">
        <f>C28/$C$36</f>
        <v>0.03487676176233349</v>
      </c>
      <c r="D27" s="253">
        <f t="shared" si="0"/>
        <v>1.0000000000000002</v>
      </c>
      <c r="E27" s="203">
        <f>E28/C28</f>
        <v>0.7799240234371094</v>
      </c>
      <c r="F27" s="203">
        <f>F28/C28</f>
        <v>0.12920816738048896</v>
      </c>
      <c r="G27" s="283">
        <f>G28/C28</f>
        <v>0.0908678091824018</v>
      </c>
    </row>
    <row r="28" spans="1:7" ht="14.25" customHeight="1">
      <c r="A28" s="352"/>
      <c r="B28" s="345"/>
      <c r="C28" s="204">
        <f>'Planilha '!H66</f>
        <v>3249.2914999999994</v>
      </c>
      <c r="D28" s="205">
        <f t="shared" si="0"/>
        <v>3249.2915</v>
      </c>
      <c r="E28" s="206">
        <f>SUM('Planilha '!H67:H75)</f>
        <v>2534.2005</v>
      </c>
      <c r="F28" s="206">
        <f>SUM('Planilha '!H76:H79)</f>
        <v>419.835</v>
      </c>
      <c r="G28" s="258">
        <f>SUM('Planilha '!H80:H81)</f>
        <v>295.25600000000003</v>
      </c>
    </row>
    <row r="29" spans="1:7" ht="14.25" customHeight="1">
      <c r="A29" s="351" t="str">
        <f>'Planilha '!A82</f>
        <v>13</v>
      </c>
      <c r="B29" s="355" t="str">
        <f>'Planilha '!B82</f>
        <v>INSTALAÇÃO DE AR CONDICIONADO </v>
      </c>
      <c r="C29" s="254">
        <f>C30/C36</f>
        <v>0.008372247973018157</v>
      </c>
      <c r="D29" s="253">
        <f>SUM(E29:G29)</f>
        <v>1</v>
      </c>
      <c r="E29" s="209"/>
      <c r="F29" s="209"/>
      <c r="G29" s="283">
        <f>G30/C30</f>
        <v>1</v>
      </c>
    </row>
    <row r="30" spans="1:7" ht="14.25" customHeight="1">
      <c r="A30" s="352"/>
      <c r="B30" s="345"/>
      <c r="C30" s="212">
        <f>'Planilha '!H82</f>
        <v>780</v>
      </c>
      <c r="D30" s="213"/>
      <c r="E30" s="214"/>
      <c r="F30" s="214"/>
      <c r="G30" s="262">
        <f>'Planilha '!H83</f>
        <v>780</v>
      </c>
    </row>
    <row r="31" spans="1:7" ht="14.25" customHeight="1">
      <c r="A31" s="351" t="str">
        <f>'Planilha '!A84</f>
        <v>14</v>
      </c>
      <c r="B31" s="344" t="str">
        <f>'Planilha '!B84</f>
        <v>BANCADA</v>
      </c>
      <c r="C31" s="252">
        <f>C32/$C$36</f>
        <v>0.009811214139634032</v>
      </c>
      <c r="D31" s="253">
        <f>SUM(E31:F31)</f>
        <v>1</v>
      </c>
      <c r="E31" s="209"/>
      <c r="F31" s="203">
        <f>F32/C32</f>
        <v>1</v>
      </c>
      <c r="G31" s="263"/>
    </row>
    <row r="32" spans="1:7" ht="14.25" customHeight="1">
      <c r="A32" s="352"/>
      <c r="B32" s="345"/>
      <c r="C32" s="210">
        <f>'Planilha '!H84</f>
        <v>914.0612000000001</v>
      </c>
      <c r="D32" s="208">
        <f>SUM(E32:F32)</f>
        <v>914.0612000000001</v>
      </c>
      <c r="E32" s="211"/>
      <c r="F32" s="211">
        <f>'Planilha '!H84</f>
        <v>914.0612000000001</v>
      </c>
      <c r="G32" s="264"/>
    </row>
    <row r="33" spans="1:7" ht="14.25" customHeight="1">
      <c r="A33" s="358" t="str">
        <f>'Planilha '!A88</f>
        <v>15</v>
      </c>
      <c r="B33" s="353" t="str">
        <f>'Planilha '!B88</f>
        <v>LIMPEZA GERAL </v>
      </c>
      <c r="C33" s="255">
        <f>C34/$C$36</f>
        <v>0.004188758467825002</v>
      </c>
      <c r="D33" s="256">
        <f t="shared" si="0"/>
        <v>1</v>
      </c>
      <c r="E33" s="190"/>
      <c r="F33" s="190"/>
      <c r="G33" s="284">
        <f>G34/C34</f>
        <v>1</v>
      </c>
    </row>
    <row r="34" spans="1:7" ht="14.25" customHeight="1">
      <c r="A34" s="359"/>
      <c r="B34" s="354"/>
      <c r="C34" s="187">
        <f>'Planilha '!H88</f>
        <v>390.2454413</v>
      </c>
      <c r="D34" s="188">
        <f t="shared" si="0"/>
        <v>390.2454413</v>
      </c>
      <c r="E34" s="189">
        <f>E33*$C$34</f>
        <v>0</v>
      </c>
      <c r="F34" s="189"/>
      <c r="G34" s="265">
        <f>'Planilha '!H88</f>
        <v>390.2454413</v>
      </c>
    </row>
    <row r="35" spans="1:7" ht="14.25" customHeight="1">
      <c r="A35" s="347" t="s">
        <v>6</v>
      </c>
      <c r="B35" s="348"/>
      <c r="C35" s="257">
        <f>C33+C31+C29+C27+C25+C23+C21+C19+C17+C15+C13+C11+C9+C7+C5</f>
        <v>1</v>
      </c>
      <c r="D35" s="217" t="s">
        <v>276</v>
      </c>
      <c r="E35" s="216">
        <f>E6+E8+E10+E12+E14+E16+E18+E20+E22+E24+E26+E28+E30+E32+E34</f>
        <v>41261.210269210744</v>
      </c>
      <c r="F35" s="216">
        <f>F6+F8+F10+F12+F14+F16+F18+F20+F22+F24+F26+F28+F30+F32+F34</f>
        <v>34998.03437780001</v>
      </c>
      <c r="G35" s="266">
        <f>G6+G8+G10+G12+G14+G16+G18+G20+G22+G24+G26+G28+G30+G32+G34</f>
        <v>16905.69773331075</v>
      </c>
    </row>
    <row r="36" spans="1:8" ht="13.5" customHeight="1">
      <c r="A36" s="349"/>
      <c r="B36" s="350"/>
      <c r="C36" s="285">
        <f>SUM(C34,C32,C30,C28,C26,C24,C22,C20,C18,C16,C14,C12,C10,C8,C6)</f>
        <v>93164.94238032149</v>
      </c>
      <c r="D36" s="191" t="s">
        <v>277</v>
      </c>
      <c r="E36" s="275">
        <f>E35</f>
        <v>41261.210269210744</v>
      </c>
      <c r="F36" s="275">
        <f>E36+F35</f>
        <v>76259.24464701075</v>
      </c>
      <c r="G36" s="274">
        <f>F36+G35</f>
        <v>93164.9423803215</v>
      </c>
      <c r="H36" s="215">
        <f>C36-G36</f>
        <v>0</v>
      </c>
    </row>
    <row r="37" spans="1:7" ht="15" customHeight="1">
      <c r="A37" s="192"/>
      <c r="B37" s="193"/>
      <c r="C37" s="194"/>
      <c r="D37" s="195"/>
      <c r="E37" s="193"/>
      <c r="F37" s="193"/>
      <c r="G37" s="267"/>
    </row>
    <row r="38" spans="1:7" ht="30.75" customHeight="1">
      <c r="A38" s="268"/>
      <c r="B38" s="269"/>
      <c r="C38" s="357" t="s">
        <v>350</v>
      </c>
      <c r="D38" s="357"/>
      <c r="E38" s="269"/>
      <c r="F38" s="269"/>
      <c r="G38" s="270"/>
    </row>
    <row r="39" spans="1:7" ht="36" customHeight="1" thickBot="1">
      <c r="A39" s="271"/>
      <c r="B39" s="272"/>
      <c r="C39" s="356" t="s">
        <v>351</v>
      </c>
      <c r="D39" s="356"/>
      <c r="E39" s="272"/>
      <c r="F39" s="272"/>
      <c r="G39" s="273"/>
    </row>
    <row r="40" spans="1:7" ht="13.5" customHeight="1">
      <c r="A40" s="196"/>
      <c r="B40" s="196"/>
      <c r="C40" s="196"/>
      <c r="D40" s="196"/>
      <c r="E40" s="196"/>
      <c r="F40" s="196"/>
      <c r="G40" s="196"/>
    </row>
    <row r="41" spans="1:7" ht="13.5" customHeight="1">
      <c r="A41" s="196"/>
      <c r="B41" s="196"/>
      <c r="C41" s="196"/>
      <c r="D41" s="196"/>
      <c r="E41" s="196"/>
      <c r="F41" s="196"/>
      <c r="G41" s="196"/>
    </row>
    <row r="42" spans="1:7" ht="13.5" customHeight="1">
      <c r="A42" s="196"/>
      <c r="B42" s="196"/>
      <c r="C42" s="196"/>
      <c r="D42" s="196"/>
      <c r="E42" s="196"/>
      <c r="F42" s="196"/>
      <c r="G42" s="196"/>
    </row>
    <row r="43" spans="1:7" ht="12.75">
      <c r="A43" s="196"/>
      <c r="B43" s="196"/>
      <c r="C43" s="196"/>
      <c r="D43" s="196"/>
      <c r="E43" s="196"/>
      <c r="F43" s="196"/>
      <c r="G43" s="196"/>
    </row>
    <row r="44" spans="1:7" ht="12.75">
      <c r="A44" s="196"/>
      <c r="B44" s="196"/>
      <c r="C44" s="196"/>
      <c r="D44" s="196"/>
      <c r="E44" s="196"/>
      <c r="F44" s="196"/>
      <c r="G44" s="196"/>
    </row>
    <row r="49" spans="5:6" ht="12.75">
      <c r="E49" s="346"/>
      <c r="F49" s="199"/>
    </row>
    <row r="50" spans="5:6" ht="12.75">
      <c r="E50" s="346"/>
      <c r="F50" s="199"/>
    </row>
    <row r="51" spans="5:6" ht="12.75">
      <c r="E51" s="346"/>
      <c r="F51" s="199"/>
    </row>
    <row r="52" spans="5:6" ht="12.75">
      <c r="E52" s="346"/>
      <c r="F52" s="199"/>
    </row>
  </sheetData>
  <sheetProtection/>
  <mergeCells count="37">
    <mergeCell ref="A25:A26"/>
    <mergeCell ref="B25:B26"/>
    <mergeCell ref="A33:A34"/>
    <mergeCell ref="A31:A32"/>
    <mergeCell ref="B31:B32"/>
    <mergeCell ref="E49:E52"/>
    <mergeCell ref="A35:B36"/>
    <mergeCell ref="A27:A28"/>
    <mergeCell ref="B27:B28"/>
    <mergeCell ref="B33:B34"/>
    <mergeCell ref="A29:A30"/>
    <mergeCell ref="B29:B30"/>
    <mergeCell ref="C39:D39"/>
    <mergeCell ref="C38:D38"/>
    <mergeCell ref="B7:B8"/>
    <mergeCell ref="A7:A8"/>
    <mergeCell ref="A5:A6"/>
    <mergeCell ref="B5:B6"/>
    <mergeCell ref="A9:A10"/>
    <mergeCell ref="B9:B10"/>
    <mergeCell ref="A21:A22"/>
    <mergeCell ref="A17:A18"/>
    <mergeCell ref="B17:B18"/>
    <mergeCell ref="A19:A20"/>
    <mergeCell ref="B11:B12"/>
    <mergeCell ref="B13:B14"/>
    <mergeCell ref="B15:B16"/>
    <mergeCell ref="A23:A24"/>
    <mergeCell ref="B23:B24"/>
    <mergeCell ref="B19:B20"/>
    <mergeCell ref="A1:G1"/>
    <mergeCell ref="A2:G2"/>
    <mergeCell ref="A3:G3"/>
    <mergeCell ref="B21:B22"/>
    <mergeCell ref="A11:A12"/>
    <mergeCell ref="A13:A14"/>
    <mergeCell ref="A15:A16"/>
  </mergeCells>
  <printOptions horizontalCentered="1"/>
  <pageMargins left="0.3937007874015748" right="0.3937007874015748" top="0.7874015748031497" bottom="0.7874015748031497" header="0.1968503937007874" footer="0"/>
  <pageSetup horizontalDpi="300" verticalDpi="300" orientation="landscape" paperSize="9" scale="78" r:id="rId2"/>
  <headerFooter alignWithMargins="0"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SheetLayoutView="100" workbookViewId="0" topLeftCell="A1">
      <selection activeCell="B5" sqref="B5"/>
    </sheetView>
  </sheetViews>
  <sheetFormatPr defaultColWidth="9.140625" defaultRowHeight="12.75"/>
  <cols>
    <col min="2" max="2" width="75.00390625" style="0" customWidth="1"/>
    <col min="3" max="3" width="7.00390625" style="0" customWidth="1"/>
    <col min="4" max="4" width="6.8515625" style="0" customWidth="1"/>
    <col min="5" max="5" width="7.28125" style="0" customWidth="1"/>
    <col min="6" max="6" width="8.140625" style="0" customWidth="1"/>
    <col min="9" max="9" width="7.140625" style="0" customWidth="1"/>
  </cols>
  <sheetData>
    <row r="1" spans="1:11" ht="18.75" thickBot="1">
      <c r="A1" s="364" t="s">
        <v>227</v>
      </c>
      <c r="B1" s="365"/>
      <c r="C1" s="365"/>
      <c r="D1" s="365"/>
      <c r="E1" s="365"/>
      <c r="F1" s="366"/>
      <c r="H1" s="85"/>
      <c r="I1" s="85"/>
      <c r="J1" s="85"/>
      <c r="K1" s="85"/>
    </row>
    <row r="2" spans="1:6" ht="12.75">
      <c r="A2" s="174" t="s">
        <v>176</v>
      </c>
      <c r="B2" s="175"/>
      <c r="C2" s="360" t="s">
        <v>228</v>
      </c>
      <c r="D2" s="360" t="s">
        <v>229</v>
      </c>
      <c r="E2" s="360" t="s">
        <v>230</v>
      </c>
      <c r="F2" s="362" t="s">
        <v>17</v>
      </c>
    </row>
    <row r="3" spans="1:6" ht="12.75">
      <c r="A3" s="176" t="s">
        <v>231</v>
      </c>
      <c r="B3" s="177" t="s">
        <v>232</v>
      </c>
      <c r="C3" s="361"/>
      <c r="D3" s="361"/>
      <c r="E3" s="361"/>
      <c r="F3" s="363"/>
    </row>
    <row r="4" spans="1:6" ht="12.75">
      <c r="A4" s="83"/>
      <c r="B4" s="92" t="s">
        <v>233</v>
      </c>
      <c r="C4" s="85"/>
      <c r="D4" s="85"/>
      <c r="E4" s="85"/>
      <c r="F4" s="117"/>
    </row>
    <row r="5" spans="1:6" ht="12.75">
      <c r="A5" s="83"/>
      <c r="B5" s="85" t="s">
        <v>176</v>
      </c>
      <c r="C5" s="178" t="s">
        <v>228</v>
      </c>
      <c r="D5" s="90">
        <v>1</v>
      </c>
      <c r="E5" s="122">
        <f>'Referência de preços'!B7</f>
        <v>78.8775</v>
      </c>
      <c r="F5" s="116">
        <f>D5*E5</f>
        <v>78.8775</v>
      </c>
    </row>
    <row r="6" spans="1:6" ht="12.75">
      <c r="A6" s="83"/>
      <c r="B6" s="91" t="s">
        <v>234</v>
      </c>
      <c r="C6" s="178"/>
      <c r="D6" s="90"/>
      <c r="E6" s="85"/>
      <c r="F6" s="126">
        <f>SUM(F5)</f>
        <v>78.8775</v>
      </c>
    </row>
    <row r="7" spans="1:6" ht="12.75">
      <c r="A7" s="83"/>
      <c r="B7" s="92" t="s">
        <v>235</v>
      </c>
      <c r="C7" s="178"/>
      <c r="D7" s="85"/>
      <c r="E7" s="85"/>
      <c r="F7" s="117"/>
    </row>
    <row r="8" spans="1:6" ht="12.75">
      <c r="A8" s="184" t="s">
        <v>242</v>
      </c>
      <c r="B8" s="85" t="s">
        <v>240</v>
      </c>
      <c r="C8" s="178" t="s">
        <v>236</v>
      </c>
      <c r="D8" s="85">
        <v>0.4</v>
      </c>
      <c r="E8" s="183">
        <v>12.38</v>
      </c>
      <c r="F8" s="117">
        <f>ROUND(D8*E8,2)</f>
        <v>4.95</v>
      </c>
    </row>
    <row r="9" spans="1:6" ht="12.75">
      <c r="A9" s="184" t="s">
        <v>241</v>
      </c>
      <c r="B9" s="85" t="s">
        <v>239</v>
      </c>
      <c r="C9" s="178" t="s">
        <v>236</v>
      </c>
      <c r="D9" s="85">
        <v>0.4</v>
      </c>
      <c r="E9" s="183">
        <v>9.34</v>
      </c>
      <c r="F9" s="117">
        <f>ROUND(D9*E9,2)</f>
        <v>3.74</v>
      </c>
    </row>
    <row r="10" spans="1:6" ht="12.75">
      <c r="A10" s="83"/>
      <c r="B10" s="91" t="s">
        <v>237</v>
      </c>
      <c r="C10" s="92"/>
      <c r="D10" s="92"/>
      <c r="E10" s="92"/>
      <c r="F10" s="180">
        <f>SUM(F8:F9)</f>
        <v>8.690000000000001</v>
      </c>
    </row>
    <row r="11" spans="1:6" ht="12.75">
      <c r="A11" s="83"/>
      <c r="B11" s="92" t="s">
        <v>6</v>
      </c>
      <c r="C11" s="85"/>
      <c r="D11" s="85"/>
      <c r="E11" s="85"/>
      <c r="F11" s="126">
        <f>F6+F10</f>
        <v>87.5675</v>
      </c>
    </row>
    <row r="12" spans="1:6" ht="13.5" thickBot="1">
      <c r="A12" s="181"/>
      <c r="B12" s="179"/>
      <c r="C12" s="179"/>
      <c r="D12" s="179"/>
      <c r="E12" s="179"/>
      <c r="F12" s="182"/>
    </row>
    <row r="13" spans="1:6" ht="12.75">
      <c r="A13" s="174" t="s">
        <v>177</v>
      </c>
      <c r="B13" s="175"/>
      <c r="C13" s="360" t="s">
        <v>228</v>
      </c>
      <c r="D13" s="360" t="s">
        <v>229</v>
      </c>
      <c r="E13" s="360" t="s">
        <v>230</v>
      </c>
      <c r="F13" s="362" t="s">
        <v>17</v>
      </c>
    </row>
    <row r="14" spans="1:6" ht="12.75">
      <c r="A14" s="176" t="s">
        <v>231</v>
      </c>
      <c r="B14" s="177" t="s">
        <v>232</v>
      </c>
      <c r="C14" s="361"/>
      <c r="D14" s="361"/>
      <c r="E14" s="361"/>
      <c r="F14" s="363"/>
    </row>
    <row r="15" spans="1:6" ht="12.75">
      <c r="A15" s="83"/>
      <c r="B15" s="92" t="s">
        <v>233</v>
      </c>
      <c r="C15" s="85"/>
      <c r="D15" s="85"/>
      <c r="E15" s="85"/>
      <c r="F15" s="117"/>
    </row>
    <row r="16" spans="1:6" ht="12.75">
      <c r="A16" s="83"/>
      <c r="B16" s="85" t="s">
        <v>177</v>
      </c>
      <c r="C16" s="178" t="s">
        <v>228</v>
      </c>
      <c r="D16" s="90">
        <v>1</v>
      </c>
      <c r="E16" s="122">
        <f>'Referência de preços'!B11</f>
        <v>42.52333333333333</v>
      </c>
      <c r="F16" s="116">
        <f>D16*E16</f>
        <v>42.52333333333333</v>
      </c>
    </row>
    <row r="17" spans="1:6" ht="12.75">
      <c r="A17" s="83"/>
      <c r="B17" s="85" t="s">
        <v>238</v>
      </c>
      <c r="C17" s="178"/>
      <c r="D17" s="90"/>
      <c r="E17" s="85"/>
      <c r="F17" s="126">
        <f>SUM(F16)</f>
        <v>42.52333333333333</v>
      </c>
    </row>
    <row r="18" spans="1:6" ht="12.75">
      <c r="A18" s="83"/>
      <c r="B18" s="91" t="s">
        <v>235</v>
      </c>
      <c r="C18" s="178"/>
      <c r="D18" s="85"/>
      <c r="E18" s="85"/>
      <c r="F18" s="117"/>
    </row>
    <row r="19" spans="1:6" ht="12.75">
      <c r="A19" s="184" t="s">
        <v>242</v>
      </c>
      <c r="B19" s="85" t="s">
        <v>240</v>
      </c>
      <c r="C19" s="178" t="s">
        <v>236</v>
      </c>
      <c r="D19" s="85">
        <v>0.4</v>
      </c>
      <c r="E19" s="183">
        <v>12.38</v>
      </c>
      <c r="F19" s="117">
        <f>ROUND(D19*E19,2)</f>
        <v>4.95</v>
      </c>
    </row>
    <row r="20" spans="1:6" ht="12.75">
      <c r="A20" s="184" t="s">
        <v>241</v>
      </c>
      <c r="B20" s="85" t="s">
        <v>239</v>
      </c>
      <c r="C20" s="178" t="s">
        <v>236</v>
      </c>
      <c r="D20" s="85">
        <v>0.4</v>
      </c>
      <c r="E20" s="183">
        <v>9.34</v>
      </c>
      <c r="F20" s="117">
        <f>ROUND(D20*E20,2)</f>
        <v>3.74</v>
      </c>
    </row>
    <row r="21" spans="1:6" ht="12.75">
      <c r="A21" s="83"/>
      <c r="B21" s="91" t="s">
        <v>237</v>
      </c>
      <c r="C21" s="92"/>
      <c r="D21" s="92"/>
      <c r="E21" s="92"/>
      <c r="F21" s="180">
        <f>SUM(F19:F20)</f>
        <v>8.690000000000001</v>
      </c>
    </row>
    <row r="22" spans="1:6" ht="12.75">
      <c r="A22" s="83"/>
      <c r="B22" s="92" t="s">
        <v>6</v>
      </c>
      <c r="C22" s="85"/>
      <c r="D22" s="85"/>
      <c r="E22" s="85"/>
      <c r="F22" s="126">
        <f>F17+F21</f>
        <v>51.21333333333334</v>
      </c>
    </row>
    <row r="23" spans="1:6" ht="13.5" thickBot="1">
      <c r="A23" s="181"/>
      <c r="B23" s="179"/>
      <c r="C23" s="179"/>
      <c r="D23" s="179"/>
      <c r="E23" s="179"/>
      <c r="F23" s="182"/>
    </row>
  </sheetData>
  <mergeCells count="9">
    <mergeCell ref="A1:F1"/>
    <mergeCell ref="C2:C3"/>
    <mergeCell ref="D2:D3"/>
    <mergeCell ref="E2:E3"/>
    <mergeCell ref="F2:F3"/>
    <mergeCell ref="C13:C14"/>
    <mergeCell ref="D13:D14"/>
    <mergeCell ref="E13:E14"/>
    <mergeCell ref="F13:F14"/>
  </mergeCells>
  <printOptions/>
  <pageMargins left="0.7874015748031497" right="0.7874015748031497" top="0.984251968503937" bottom="0.984251968503937" header="0.5118110236220472" footer="0.5118110236220472"/>
  <pageSetup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21" sqref="B21"/>
    </sheetView>
  </sheetViews>
  <sheetFormatPr defaultColWidth="9.140625" defaultRowHeight="12.75"/>
  <cols>
    <col min="1" max="1" width="76.57421875" style="0" customWidth="1"/>
    <col min="2" max="2" width="13.00390625" style="0" customWidth="1"/>
    <col min="3" max="3" width="24.57421875" style="0" customWidth="1"/>
  </cols>
  <sheetData>
    <row r="1" spans="1:3" ht="24.75" customHeight="1" thickBot="1" thickTop="1">
      <c r="A1" s="367" t="s">
        <v>244</v>
      </c>
      <c r="B1" s="368"/>
      <c r="C1" s="369"/>
    </row>
    <row r="2" spans="1:3" ht="24" customHeight="1">
      <c r="A2" s="298" t="s">
        <v>352</v>
      </c>
      <c r="B2" s="286" t="s">
        <v>245</v>
      </c>
      <c r="C2" s="299" t="s">
        <v>246</v>
      </c>
    </row>
    <row r="3" spans="1:3" ht="24" customHeight="1">
      <c r="A3" s="370" t="s">
        <v>176</v>
      </c>
      <c r="B3" s="287">
        <v>98</v>
      </c>
      <c r="C3" s="292" t="s">
        <v>264</v>
      </c>
    </row>
    <row r="4" spans="1:3" ht="24" customHeight="1">
      <c r="A4" s="371"/>
      <c r="B4" s="288">
        <v>65.7</v>
      </c>
      <c r="C4" s="293" t="s">
        <v>265</v>
      </c>
    </row>
    <row r="5" spans="1:3" ht="24" customHeight="1">
      <c r="A5" s="371"/>
      <c r="B5" s="289">
        <v>68.48</v>
      </c>
      <c r="C5" s="293" t="s">
        <v>266</v>
      </c>
    </row>
    <row r="6" spans="1:3" ht="24" customHeight="1">
      <c r="A6" s="372"/>
      <c r="B6" s="290">
        <v>83.33</v>
      </c>
      <c r="C6" s="295" t="s">
        <v>267</v>
      </c>
    </row>
    <row r="7" spans="1:3" ht="24" customHeight="1" thickBot="1">
      <c r="A7" s="300" t="s">
        <v>247</v>
      </c>
      <c r="B7" s="291">
        <f>AVERAGE(B3:B6)</f>
        <v>78.8775</v>
      </c>
      <c r="C7" s="301"/>
    </row>
    <row r="8" spans="1:3" ht="24" customHeight="1">
      <c r="A8" s="373" t="s">
        <v>177</v>
      </c>
      <c r="B8" s="296">
        <v>36</v>
      </c>
      <c r="C8" s="297" t="s">
        <v>265</v>
      </c>
    </row>
    <row r="9" spans="1:3" ht="24" customHeight="1">
      <c r="A9" s="373"/>
      <c r="B9" s="288">
        <v>41.57</v>
      </c>
      <c r="C9" s="293" t="s">
        <v>266</v>
      </c>
    </row>
    <row r="10" spans="1:3" ht="24" customHeight="1">
      <c r="A10" s="373"/>
      <c r="B10" s="294">
        <v>50</v>
      </c>
      <c r="C10" s="295" t="s">
        <v>268</v>
      </c>
    </row>
    <row r="11" spans="1:3" ht="24" customHeight="1" thickBot="1">
      <c r="A11" s="302" t="s">
        <v>247</v>
      </c>
      <c r="B11" s="303">
        <f>AVERAGE(B8:B10)</f>
        <v>42.52333333333333</v>
      </c>
      <c r="C11" s="304"/>
    </row>
    <row r="12" ht="13.5" thickTop="1"/>
  </sheetData>
  <mergeCells count="3">
    <mergeCell ref="A1:C1"/>
    <mergeCell ref="A3:A6"/>
    <mergeCell ref="A8:A10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5"/>
  <sheetViews>
    <sheetView workbookViewId="0" topLeftCell="A13">
      <selection activeCell="D34" sqref="D34"/>
    </sheetView>
  </sheetViews>
  <sheetFormatPr defaultColWidth="9.140625" defaultRowHeight="12.75"/>
  <cols>
    <col min="1" max="1" width="47.28125" style="0" customWidth="1"/>
    <col min="2" max="2" width="18.140625" style="0" customWidth="1"/>
    <col min="3" max="3" width="16.57421875" style="0" bestFit="1" customWidth="1"/>
    <col min="4" max="4" width="13.00390625" style="0" customWidth="1"/>
    <col min="5" max="5" width="11.140625" style="0" bestFit="1" customWidth="1"/>
    <col min="6" max="6" width="82.00390625" style="0" customWidth="1"/>
  </cols>
  <sheetData>
    <row r="1" ht="13.5" thickBot="1"/>
    <row r="2" ht="13.5" thickBot="1">
      <c r="F2" s="306" t="s">
        <v>53</v>
      </c>
    </row>
    <row r="3" spans="1:6" ht="12.75">
      <c r="A3" s="111" t="s">
        <v>47</v>
      </c>
      <c r="B3" s="137" t="s">
        <v>12</v>
      </c>
      <c r="C3" s="137" t="s">
        <v>14</v>
      </c>
      <c r="D3" s="115" t="s">
        <v>13</v>
      </c>
      <c r="F3" s="134"/>
    </row>
    <row r="4" spans="1:6" ht="12.75">
      <c r="A4" s="149" t="s">
        <v>61</v>
      </c>
      <c r="B4" s="148"/>
      <c r="C4" s="148"/>
      <c r="D4" s="116">
        <f>55.31*1.06</f>
        <v>58.628600000000006</v>
      </c>
      <c r="F4" s="133"/>
    </row>
    <row r="5" spans="1:6" ht="12.75">
      <c r="A5" s="83" t="s">
        <v>217</v>
      </c>
      <c r="B5">
        <f>2*1.06</f>
        <v>2.12</v>
      </c>
      <c r="C5" s="85">
        <f>(3.97+10.61)</f>
        <v>14.58</v>
      </c>
      <c r="D5" s="117">
        <f>B5*C5</f>
        <v>30.9096</v>
      </c>
      <c r="F5" s="131"/>
    </row>
    <row r="6" spans="1:6" ht="13.5" thickBot="1">
      <c r="A6" s="84" t="s">
        <v>17</v>
      </c>
      <c r="B6" s="118"/>
      <c r="C6" s="118"/>
      <c r="D6" s="119">
        <f>SUM(D4:D5)</f>
        <v>89.5382</v>
      </c>
      <c r="F6" s="132"/>
    </row>
    <row r="7" spans="1:6" ht="12.75">
      <c r="A7" s="111" t="s">
        <v>55</v>
      </c>
      <c r="B7" s="137" t="s">
        <v>49</v>
      </c>
      <c r="C7" s="137" t="s">
        <v>11</v>
      </c>
      <c r="D7" s="139" t="s">
        <v>16</v>
      </c>
      <c r="F7" s="134"/>
    </row>
    <row r="8" spans="1:6" ht="12.75">
      <c r="A8" s="136" t="s">
        <v>48</v>
      </c>
      <c r="B8" s="91">
        <v>5</v>
      </c>
      <c r="C8" s="91">
        <v>2.65</v>
      </c>
      <c r="D8" s="129">
        <f>B8*C8</f>
        <v>13.25</v>
      </c>
      <c r="F8" s="131" t="s">
        <v>52</v>
      </c>
    </row>
    <row r="9" spans="1:6" ht="12.75">
      <c r="A9" s="136"/>
      <c r="B9" s="91"/>
      <c r="C9" s="91"/>
      <c r="D9" s="129"/>
      <c r="F9" s="131"/>
    </row>
    <row r="10" spans="1:6" ht="13.5" thickBot="1">
      <c r="A10" s="84" t="s">
        <v>17</v>
      </c>
      <c r="B10" s="130"/>
      <c r="C10" s="130"/>
      <c r="D10" s="119">
        <f>SUM(D8:D8)</f>
        <v>13.25</v>
      </c>
      <c r="F10" s="132" t="s">
        <v>56</v>
      </c>
    </row>
    <row r="11" spans="1:6" ht="12.75">
      <c r="A11" s="125" t="s">
        <v>216</v>
      </c>
      <c r="B11" s="92">
        <v>2</v>
      </c>
      <c r="C11" s="92">
        <v>10.61</v>
      </c>
      <c r="D11" s="126">
        <f>C11*B11</f>
        <v>21.22</v>
      </c>
      <c r="F11" s="131"/>
    </row>
    <row r="12" spans="1:6" ht="13.5" thickBot="1">
      <c r="A12" s="125" t="s">
        <v>243</v>
      </c>
      <c r="B12" s="92"/>
      <c r="C12" s="92"/>
      <c r="D12" s="126">
        <v>55.31</v>
      </c>
      <c r="F12" s="131"/>
    </row>
    <row r="13" spans="1:6" ht="12.75">
      <c r="A13" s="111" t="s">
        <v>54</v>
      </c>
      <c r="B13" s="114"/>
      <c r="C13" s="114"/>
      <c r="D13" s="128" t="s">
        <v>16</v>
      </c>
      <c r="F13" s="134"/>
    </row>
    <row r="14" spans="1:6" ht="12.75">
      <c r="A14" s="83" t="s">
        <v>61</v>
      </c>
      <c r="B14" s="85"/>
      <c r="C14" s="85"/>
      <c r="D14" s="138">
        <v>33.73</v>
      </c>
      <c r="F14" s="146" t="s">
        <v>198</v>
      </c>
    </row>
    <row r="15" spans="1:6" ht="12.75">
      <c r="A15" s="83" t="s">
        <v>333</v>
      </c>
      <c r="B15" s="85"/>
      <c r="C15" s="85"/>
      <c r="D15" s="138">
        <v>12</v>
      </c>
      <c r="F15" s="146"/>
    </row>
    <row r="16" spans="1:6" ht="12.75">
      <c r="A16" s="83" t="s">
        <v>217</v>
      </c>
      <c r="B16" s="85"/>
      <c r="C16" s="85"/>
      <c r="D16" s="117">
        <f>10.61+5.97</f>
        <v>16.58</v>
      </c>
      <c r="F16" s="135" t="s">
        <v>219</v>
      </c>
    </row>
    <row r="17" spans="1:6" ht="12.75">
      <c r="A17" s="83"/>
      <c r="B17" s="85"/>
      <c r="C17" s="85"/>
      <c r="D17" s="117"/>
      <c r="F17" s="131"/>
    </row>
    <row r="18" spans="1:6" ht="13.5" thickBot="1">
      <c r="A18" s="84" t="s">
        <v>17</v>
      </c>
      <c r="B18" s="118"/>
      <c r="C18" s="118"/>
      <c r="D18" s="119">
        <f>SUM(D14:D17)</f>
        <v>62.309999999999995</v>
      </c>
      <c r="F18" s="132" t="s">
        <v>59</v>
      </c>
    </row>
    <row r="19" spans="1:6" ht="12.75">
      <c r="A19" s="111" t="s">
        <v>50</v>
      </c>
      <c r="B19" s="114"/>
      <c r="C19" s="114"/>
      <c r="D19" s="128" t="s">
        <v>16</v>
      </c>
      <c r="F19" s="134"/>
    </row>
    <row r="20" spans="1:6" ht="12.75">
      <c r="A20" s="136" t="s">
        <v>67</v>
      </c>
      <c r="B20" s="92"/>
      <c r="C20" s="92"/>
      <c r="D20" s="129">
        <f>12.67+11.88+11.88</f>
        <v>36.43</v>
      </c>
      <c r="F20" s="131" t="s">
        <v>199</v>
      </c>
    </row>
    <row r="21" spans="1:6" ht="12.75">
      <c r="A21" s="136" t="s">
        <v>217</v>
      </c>
      <c r="B21" s="92"/>
      <c r="C21" s="92"/>
      <c r="D21" s="129">
        <f>8.61+3.97</f>
        <v>12.58</v>
      </c>
      <c r="F21" s="131" t="s">
        <v>218</v>
      </c>
    </row>
    <row r="22" spans="1:6" ht="13.5" thickBot="1">
      <c r="A22" s="136"/>
      <c r="B22" s="92"/>
      <c r="C22" s="92"/>
      <c r="D22" s="126">
        <f>SUM(D20:D21)</f>
        <v>49.01</v>
      </c>
      <c r="F22" s="131"/>
    </row>
    <row r="23" spans="1:6" ht="12.75">
      <c r="A23" s="111" t="s">
        <v>51</v>
      </c>
      <c r="B23" s="114"/>
      <c r="C23" s="114"/>
      <c r="D23" s="128" t="s">
        <v>16</v>
      </c>
      <c r="F23" s="134"/>
    </row>
    <row r="24" spans="1:6" ht="12.75">
      <c r="A24" s="125"/>
      <c r="B24" s="92"/>
      <c r="C24" s="92"/>
      <c r="D24" s="129">
        <f>D14</f>
        <v>33.73</v>
      </c>
      <c r="F24" s="131" t="s">
        <v>200</v>
      </c>
    </row>
    <row r="25" spans="1:6" ht="12.75">
      <c r="A25" s="125"/>
      <c r="B25" s="92"/>
      <c r="C25" s="92"/>
      <c r="D25" s="126"/>
      <c r="F25" s="131"/>
    </row>
    <row r="26" spans="1:6" ht="13.5" thickBot="1">
      <c r="A26" s="84" t="s">
        <v>17</v>
      </c>
      <c r="B26" s="118"/>
      <c r="C26" s="118"/>
      <c r="D26" s="119">
        <f>SUM(D24:D25)</f>
        <v>33.73</v>
      </c>
      <c r="F26" s="132" t="s">
        <v>201</v>
      </c>
    </row>
    <row r="27" spans="1:6" ht="16.5" customHeight="1">
      <c r="A27" s="120" t="s">
        <v>42</v>
      </c>
      <c r="B27" s="145" t="s">
        <v>14</v>
      </c>
      <c r="C27" s="145" t="s">
        <v>11</v>
      </c>
      <c r="D27" s="121" t="s">
        <v>13</v>
      </c>
      <c r="E27" s="5"/>
      <c r="F27" s="147"/>
    </row>
    <row r="28" spans="1:6" ht="12.75">
      <c r="A28" s="83" t="s">
        <v>70</v>
      </c>
      <c r="B28" s="73">
        <f>11.88+0.5+4.45+0.5+12.67</f>
        <v>30</v>
      </c>
      <c r="C28" s="73">
        <v>4.3</v>
      </c>
      <c r="D28" s="116">
        <f>B28*C28</f>
        <v>129</v>
      </c>
      <c r="F28" s="131" t="s">
        <v>202</v>
      </c>
    </row>
    <row r="29" spans="1:6" ht="12.75">
      <c r="A29" s="83" t="s">
        <v>217</v>
      </c>
      <c r="B29">
        <v>10.6</v>
      </c>
      <c r="C29">
        <v>4.3</v>
      </c>
      <c r="D29" s="116">
        <f>B29*C29</f>
        <v>45.58</v>
      </c>
      <c r="F29" s="131"/>
    </row>
    <row r="30" spans="4:6" ht="12.75">
      <c r="D30" s="116">
        <f>SUM(D28:D29)</f>
        <v>174.57999999999998</v>
      </c>
      <c r="F30" s="131"/>
    </row>
    <row r="31" spans="1:6" ht="12.75">
      <c r="A31" s="120" t="s">
        <v>358</v>
      </c>
      <c r="B31" s="145" t="s">
        <v>14</v>
      </c>
      <c r="C31" s="145" t="s">
        <v>11</v>
      </c>
      <c r="D31" s="121" t="s">
        <v>13</v>
      </c>
      <c r="F31" s="131"/>
    </row>
    <row r="32" spans="1:6" ht="12.75">
      <c r="A32" t="s">
        <v>359</v>
      </c>
      <c r="D32" s="116">
        <v>29.16</v>
      </c>
      <c r="F32" s="131"/>
    </row>
    <row r="33" spans="1:6" ht="12.75">
      <c r="A33" t="s">
        <v>360</v>
      </c>
      <c r="B33">
        <f>(0.12+0.08)*2</f>
        <v>0.4</v>
      </c>
      <c r="C33" s="73">
        <f>D10</f>
        <v>13.25</v>
      </c>
      <c r="D33" s="116">
        <f>B33*C33</f>
        <v>5.300000000000001</v>
      </c>
      <c r="F33" s="131"/>
    </row>
    <row r="34" spans="1:6" ht="12.75">
      <c r="A34" s="83" t="s">
        <v>95</v>
      </c>
      <c r="D34" s="116">
        <f>SUM(D32:D33)</f>
        <v>34.46</v>
      </c>
      <c r="F34" s="131"/>
    </row>
    <row r="35" spans="1:6" ht="12.75">
      <c r="A35" s="120" t="s">
        <v>44</v>
      </c>
      <c r="B35" s="145" t="s">
        <v>45</v>
      </c>
      <c r="C35" s="145" t="s">
        <v>43</v>
      </c>
      <c r="D35" s="121" t="s">
        <v>13</v>
      </c>
      <c r="F35" s="133"/>
    </row>
    <row r="36" spans="1:6" ht="12.75">
      <c r="A36" s="83" t="s">
        <v>69</v>
      </c>
      <c r="B36" s="90">
        <f>11.88+4.45+4.52+12.67</f>
        <v>33.52</v>
      </c>
      <c r="C36" s="122">
        <v>2.9</v>
      </c>
      <c r="D36" s="116">
        <f>B36*C36</f>
        <v>97.20800000000001</v>
      </c>
      <c r="F36" s="131" t="s">
        <v>203</v>
      </c>
    </row>
    <row r="37" spans="1:6" ht="13.5" thickBot="1">
      <c r="A37" s="123" t="s">
        <v>17</v>
      </c>
      <c r="B37" s="93"/>
      <c r="C37" s="93"/>
      <c r="D37" s="124">
        <f>SUM(D36:D36)</f>
        <v>97.20800000000001</v>
      </c>
      <c r="F37" s="142"/>
    </row>
    <row r="38" spans="1:6" ht="12.75">
      <c r="A38" s="111" t="s">
        <v>46</v>
      </c>
      <c r="B38" s="137" t="s">
        <v>14</v>
      </c>
      <c r="C38" s="137" t="s">
        <v>12</v>
      </c>
      <c r="D38" s="115" t="s">
        <v>13</v>
      </c>
      <c r="F38" s="134"/>
    </row>
    <row r="39" spans="1:6" ht="12.75">
      <c r="A39" s="83" t="s">
        <v>70</v>
      </c>
      <c r="B39" s="85"/>
      <c r="C39" s="85"/>
      <c r="D39" s="116">
        <v>55.31</v>
      </c>
      <c r="F39" s="131"/>
    </row>
    <row r="40" spans="1:6" ht="13.5" thickBot="1">
      <c r="A40" s="125" t="s">
        <v>17</v>
      </c>
      <c r="B40" s="92"/>
      <c r="C40" s="92"/>
      <c r="D40" s="126">
        <f>SUM(D39:D39)</f>
        <v>55.31</v>
      </c>
      <c r="F40" s="132"/>
    </row>
    <row r="41" spans="1:5" ht="12.75">
      <c r="A41" s="111" t="s">
        <v>338</v>
      </c>
      <c r="B41" s="137" t="s">
        <v>204</v>
      </c>
      <c r="C41" s="137" t="s">
        <v>205</v>
      </c>
      <c r="D41" s="137" t="s">
        <v>90</v>
      </c>
      <c r="E41" s="137" t="s">
        <v>91</v>
      </c>
    </row>
    <row r="42" ht="12.75">
      <c r="A42" s="123" t="s">
        <v>93</v>
      </c>
    </row>
    <row r="43" spans="1:5" ht="12.75">
      <c r="A43" s="83" t="s">
        <v>85</v>
      </c>
      <c r="B43" s="90">
        <v>2.9</v>
      </c>
      <c r="C43" s="90">
        <v>12.3</v>
      </c>
      <c r="D43" s="85">
        <v>0.15</v>
      </c>
      <c r="E43" s="90">
        <f>B43*C43*D43</f>
        <v>5.3505</v>
      </c>
    </row>
    <row r="44" spans="1:5" ht="12.75">
      <c r="A44" s="83" t="s">
        <v>86</v>
      </c>
      <c r="B44" s="90">
        <v>1.94</v>
      </c>
      <c r="C44" s="90">
        <v>13</v>
      </c>
      <c r="D44" s="85">
        <v>0.15</v>
      </c>
      <c r="E44" s="90">
        <f>B44*C44*D44</f>
        <v>3.7829999999999995</v>
      </c>
    </row>
    <row r="45" spans="1:5" ht="12.75">
      <c r="A45" s="125" t="s">
        <v>95</v>
      </c>
      <c r="B45" s="152"/>
      <c r="C45" s="152"/>
      <c r="D45" s="92"/>
      <c r="E45" s="152">
        <f>SUM(E43:E44)</f>
        <v>9.1335</v>
      </c>
    </row>
    <row r="46" spans="1:5" ht="12.75">
      <c r="A46" s="83"/>
      <c r="B46" s="90" t="s">
        <v>88</v>
      </c>
      <c r="C46" s="90" t="s">
        <v>89</v>
      </c>
      <c r="D46" s="85" t="s">
        <v>94</v>
      </c>
      <c r="E46" s="90" t="s">
        <v>91</v>
      </c>
    </row>
    <row r="47" spans="1:5" ht="12.75">
      <c r="A47" s="127" t="s">
        <v>92</v>
      </c>
      <c r="B47" s="90">
        <f>B43+B44</f>
        <v>4.84</v>
      </c>
      <c r="C47" s="90">
        <v>0.5</v>
      </c>
      <c r="D47" s="90">
        <v>0.5</v>
      </c>
      <c r="E47" s="85">
        <f>B47*C47*D47</f>
        <v>1.21</v>
      </c>
    </row>
    <row r="48" spans="1:5" ht="12.75">
      <c r="A48" s="85"/>
      <c r="B48" s="85"/>
      <c r="C48" s="85"/>
      <c r="D48" s="85"/>
      <c r="E48" s="85"/>
    </row>
    <row r="49" spans="1:5" ht="13.5" thickBot="1">
      <c r="A49" s="85" t="s">
        <v>98</v>
      </c>
      <c r="B49" s="85"/>
      <c r="C49" s="85"/>
      <c r="D49" s="85"/>
      <c r="E49" s="92">
        <f>(E45+E47)*2</f>
        <v>20.686999999999998</v>
      </c>
    </row>
    <row r="50" spans="1:5" ht="12.75">
      <c r="A50" s="114" t="s">
        <v>342</v>
      </c>
      <c r="B50" s="137" t="s">
        <v>14</v>
      </c>
      <c r="C50" s="114"/>
      <c r="D50" s="114"/>
      <c r="E50" s="114"/>
    </row>
    <row r="51" spans="1:5" ht="12.75">
      <c r="A51" s="85" t="s">
        <v>339</v>
      </c>
      <c r="B51" s="90">
        <v>12.3</v>
      </c>
      <c r="C51" s="85"/>
      <c r="D51" s="85"/>
      <c r="E51" s="85"/>
    </row>
    <row r="52" spans="1:5" ht="12.75">
      <c r="A52" s="85" t="s">
        <v>340</v>
      </c>
      <c r="B52" s="90">
        <v>13</v>
      </c>
      <c r="C52" s="85"/>
      <c r="D52" s="85"/>
      <c r="E52" s="85"/>
    </row>
    <row r="53" spans="1:2" ht="13.5" thickBot="1">
      <c r="A53" s="153" t="s">
        <v>341</v>
      </c>
      <c r="B53" s="222">
        <f>SUM(B51:B52)</f>
        <v>25.3</v>
      </c>
    </row>
    <row r="54" spans="1:5" ht="12.75">
      <c r="A54" s="114" t="s">
        <v>343</v>
      </c>
      <c r="B54" s="137" t="s">
        <v>14</v>
      </c>
      <c r="C54" s="305"/>
      <c r="D54" s="305"/>
      <c r="E54" s="305"/>
    </row>
    <row r="55" spans="1:5" ht="12.75">
      <c r="A55" s="85" t="s">
        <v>344</v>
      </c>
      <c r="B55" s="90">
        <f>B53</f>
        <v>25.3</v>
      </c>
      <c r="C55" s="85"/>
      <c r="D55" s="85"/>
      <c r="E55" s="85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gustavomariano</dc:creator>
  <cp:keywords/>
  <dc:description/>
  <cp:lastModifiedBy>moniquecoelho</cp:lastModifiedBy>
  <cp:lastPrinted>2015-01-09T14:03:10Z</cp:lastPrinted>
  <dcterms:created xsi:type="dcterms:W3CDTF">2006-09-22T13:55:22Z</dcterms:created>
  <dcterms:modified xsi:type="dcterms:W3CDTF">2015-02-23T19:25:55Z</dcterms:modified>
  <cp:category/>
  <cp:version/>
  <cp:contentType/>
  <cp:contentStatus/>
</cp:coreProperties>
</file>